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  <definedName name="_xlnm.Print_Area" localSheetId="0">'Cash-Flow-DATA'!$A$1:$R$139</definedName>
    <definedName name="_xlnm.Print_Area" localSheetId="1">'OTCHET-agregirani pokazateli'!$A$1:$J$112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<sst xmlns="http://schemas.openxmlformats.org/spreadsheetml/2006/main" count="2951" uniqueCount="2089">
  <si>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</si>
  <si>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</si>
  <si>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</si>
  <si>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</si>
  <si>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</si>
  <si>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</si>
  <si>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</si>
  <si>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</si>
  <si>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</si>
  <si>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</si>
  <si>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</si>
  <si>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</si>
  <si>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</si>
  <si>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</si>
  <si>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</si>
  <si>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</si>
  <si>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</si>
  <si>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</si>
  <si>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</si>
  <si>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</si>
  <si>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</si>
  <si>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</si>
  <si>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</si>
  <si>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</si>
  <si>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</si>
  <si>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</si>
  <si>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</si>
  <si>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</si>
  <si>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</si>
  <si>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</si>
  <si>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</si>
  <si>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</si>
  <si>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</si>
  <si>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</si>
  <si>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</si>
  <si>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</si>
  <si>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</si>
  <si>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</si>
  <si>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</si>
  <si>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</si>
  <si>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</si>
  <si>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</si>
  <si>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</si>
  <si>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</si>
  <si>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</si>
  <si>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</si>
  <si>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</si>
  <si>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</si>
  <si>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</si>
  <si>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</si>
  <si>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</si>
  <si>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</si>
  <si>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</si>
  <si>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</si>
  <si>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</si>
  <si>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</si>
  <si>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</si>
  <si>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</si>
  <si>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</si>
  <si>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</si>
  <si>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</si>
  <si>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</si>
  <si>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</si>
  <si>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</si>
  <si>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</si>
  <si>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</si>
  <si>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</si>
  <si>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</si>
  <si>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</si>
  <si>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</si>
  <si>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</si>
  <si>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</si>
  <si>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</si>
  <si>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</si>
  <si>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</si>
  <si>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</si>
  <si>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</si>
  <si>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</si>
  <si>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</si>
  <si>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</si>
  <si>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</si>
  <si>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</si>
  <si>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</si>
  <si>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</si>
  <si>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</si>
  <si>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</si>
  <si>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</si>
  <si>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</si>
  <si>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</si>
  <si>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</si>
  <si>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</si>
  <si>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</si>
  <si>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</si>
  <si>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</si>
  <si>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</si>
  <si>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</si>
  <si>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</si>
  <si>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</si>
  <si>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</si>
  <si>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</si>
  <si>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</si>
  <si>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</si>
  <si>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</si>
  <si>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</si>
  <si>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</si>
  <si>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</si>
  <si>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</si>
  <si>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</si>
  <si>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</si>
  <si>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</si>
  <si>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</si>
  <si>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</si>
  <si>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</si>
  <si>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</si>
  <si>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</si>
  <si>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</si>
  <si>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</si>
  <si>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</si>
  <si>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</si>
  <si>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</si>
  <si>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</si>
  <si>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</si>
  <si>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</si>
  <si>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</si>
  <si>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</si>
  <si>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</si>
  <si>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</si>
  <si>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</si>
  <si>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</si>
  <si>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</si>
  <si>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</si>
  <si>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</si>
  <si>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</si>
  <si>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</si>
  <si>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</si>
  <si>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</si>
  <si>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</si>
  <si>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</si>
  <si>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</si>
  <si>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</si>
  <si>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</si>
  <si>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</si>
  <si>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</si>
  <si>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</si>
  <si>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</si>
  <si>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</si>
  <si>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</si>
  <si>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</si>
  <si>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</si>
  <si>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</si>
  <si>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</si>
  <si>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</si>
  <si>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</si>
  <si>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</si>
  <si>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</si>
  <si>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</si>
  <si>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</si>
  <si>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</si>
  <si>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</si>
  <si>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</si>
  <si>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</si>
  <si>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</si>
  <si>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</si>
  <si>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</si>
  <si>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</si>
  <si>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</si>
  <si>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</si>
  <si>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</si>
  <si>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</si>
  <si>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</si>
  <si>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</si>
  <si>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</si>
  <si>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</si>
  <si>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</si>
  <si>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</si>
  <si>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</si>
  <si>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</si>
  <si>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</si>
  <si>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</si>
  <si>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</si>
  <si>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</si>
  <si>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</si>
  <si>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</si>
  <si>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</si>
  <si>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</si>
  <si>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</si>
  <si>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</si>
  <si>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</si>
  <si>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</si>
  <si>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</si>
  <si>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</si>
  <si>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</si>
  <si>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</si>
  <si>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</si>
  <si>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</si>
  <si>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</si>
  <si>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</si>
  <si>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</si>
  <si>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</si>
  <si>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</si>
  <si>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</si>
  <si>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</si>
  <si>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</si>
  <si>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</si>
  <si>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</si>
  <si>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</si>
  <si>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</si>
  <si>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</si>
  <si>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</si>
  <si>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</si>
  <si>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</si>
  <si>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</si>
  <si>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</si>
  <si>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</si>
  <si>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</si>
  <si>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</si>
  <si>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</si>
  <si>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</si>
  <si>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</si>
  <si>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</si>
  <si>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</si>
  <si>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</si>
  <si>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</si>
  <si>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</si>
  <si>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</si>
  <si>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</si>
  <si>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</si>
  <si>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</si>
  <si>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</si>
  <si>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</si>
  <si>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</si>
  <si>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</si>
  <si>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</si>
  <si>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</si>
  <si>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</si>
  <si>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</si>
  <si>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</si>
  <si>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</si>
  <si>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</si>
  <si>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</si>
  <si>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</si>
  <si>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</si>
  <si>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</si>
  <si>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</si>
  <si>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</si>
  <si>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</si>
  <si>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</si>
  <si>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</si>
  <si>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</si>
  <si>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</si>
  <si>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</si>
  <si>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</si>
  <si>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</si>
  <si>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</si>
  <si>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</si>
  <si>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</si>
  <si>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</si>
  <si>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</si>
  <si>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</si>
  <si>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</si>
  <si>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</si>
  <si>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</si>
  <si>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</si>
  <si>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</si>
  <si>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</si>
  <si>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</si>
  <si>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</si>
  <si>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</si>
  <si>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</si>
  <si>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</si>
  <si>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</si>
  <si>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</si>
  <si>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</si>
  <si>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</si>
  <si>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</si>
  <si>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</si>
  <si>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</si>
  <si>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</si>
  <si>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</si>
  <si>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</si>
  <si>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</si>
  <si>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</si>
  <si>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</si>
  <si>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</si>
  <si>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</si>
  <si>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</si>
  <si>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</si>
  <si>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</si>
  <si>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</si>
  <si>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</si>
  <si>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</si>
  <si>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</si>
  <si>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</si>
  <si>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</si>
  <si>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</si>
  <si>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</si>
  <si>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</si>
  <si>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</si>
  <si>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</si>
  <si>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</si>
  <si>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</si>
  <si>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</si>
  <si>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</si>
  <si>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</si>
  <si>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</si>
  <si>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</si>
  <si>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</si>
  <si>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</si>
  <si>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</si>
  <si>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</si>
  <si>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</si>
  <si>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</si>
  <si>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</si>
  <si>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</si>
  <si>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</si>
  <si>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</si>
  <si>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</si>
  <si>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</si>
  <si>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</si>
  <si>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</si>
  <si>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</si>
  <si>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</si>
  <si>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</si>
  <si>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</si>
  <si>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</si>
  <si>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</si>
  <si>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</si>
  <si>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</si>
  <si>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</si>
  <si>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</si>
  <si>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</si>
  <si>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</si>
  <si>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</si>
  <si>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</si>
  <si>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</si>
  <si>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</si>
  <si>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</si>
  <si>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</si>
  <si>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</si>
  <si>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</si>
  <si>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</si>
  <si>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</si>
  <si>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</si>
  <si>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</si>
  <si>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</si>
  <si>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</si>
  <si>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</si>
  <si>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</si>
  <si>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</si>
  <si>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</si>
  <si>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</si>
  <si>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</si>
  <si>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</si>
  <si>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</si>
  <si>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</si>
  <si>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</si>
  <si>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</si>
  <si>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</si>
  <si>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</si>
  <si>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</si>
  <si>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</si>
  <si>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</si>
  <si>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</si>
  <si>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</si>
  <si>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</si>
  <si>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</si>
  <si>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</si>
  <si>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</si>
  <si>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</si>
  <si>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</si>
  <si>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</si>
  <si>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</si>
  <si>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</si>
  <si>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</si>
  <si>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</si>
  <si>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</si>
  <si>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</si>
  <si>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</si>
  <si>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</si>
  <si>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</si>
  <si>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</si>
  <si>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</si>
  <si>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</si>
  <si>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</si>
  <si>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</si>
  <si>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</si>
  <si>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</si>
  <si>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</si>
  <si>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</si>
  <si>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</si>
  <si>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</si>
  <si>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</si>
  <si>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</si>
  <si>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</si>
  <si>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</si>
  <si>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</si>
  <si>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</si>
  <si>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</si>
  <si>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</si>
  <si>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</si>
  <si>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</si>
  <si>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</si>
  <si>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</si>
  <si>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</si>
  <si>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</si>
  <si>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</si>
  <si>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</si>
  <si>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</si>
  <si>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</si>
  <si>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</si>
  <si>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</si>
  <si>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</si>
  <si>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</si>
  <si>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</si>
  <si>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</si>
  <si>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</si>
  <si>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</si>
  <si>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</si>
  <si>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</si>
  <si>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</si>
  <si>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</si>
  <si>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</si>
  <si>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</si>
  <si>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</si>
  <si>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</si>
  <si>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</si>
  <si>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</si>
  <si>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</si>
  <si>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</si>
  <si>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</si>
  <si>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</si>
  <si>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</si>
  <si>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</si>
  <si>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</si>
  <si>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</si>
  <si>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</si>
  <si>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</si>
  <si>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</si>
  <si>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</si>
  <si>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</si>
  <si>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</si>
  <si>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</si>
  <si>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</si>
  <si>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</si>
  <si>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</si>
  <si>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</si>
  <si>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</si>
  <si>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</si>
  <si>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</si>
  <si>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</si>
  <si>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</si>
  <si>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</si>
  <si>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</si>
  <si>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</si>
  <si>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</si>
  <si>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</si>
  <si>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</si>
  <si>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</si>
  <si>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</si>
  <si>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</si>
  <si>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</si>
  <si>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</si>
  <si>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</si>
  <si>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</si>
  <si>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</si>
  <si>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</si>
  <si>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</si>
  <si>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</si>
  <si>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</si>
  <si>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</si>
  <si>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</si>
  <si>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</si>
  <si>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</si>
  <si>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</si>
  <si>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</si>
  <si>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</si>
  <si>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</si>
  <si>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</si>
  <si>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</si>
  <si>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</si>
  <si>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</si>
  <si>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</si>
  <si>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</si>
  <si>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</si>
  <si>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</si>
  <si>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</si>
  <si>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</si>
  <si>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</si>
  <si>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</si>
  <si>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</si>
  <si>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</si>
  <si>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</si>
  <si>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</si>
  <si>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</si>
  <si>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</si>
  <si>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</si>
  <si>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</si>
  <si>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</si>
  <si>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</si>
  <si>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</si>
  <si>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</si>
  <si>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</si>
  <si>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</si>
  <si>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</si>
  <si>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</si>
  <si>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</si>
  <si>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</si>
  <si>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</si>
  <si>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</si>
  <si>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</si>
  <si>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</si>
  <si>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</si>
  <si>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</si>
  <si>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</si>
  <si>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</si>
  <si>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</si>
  <si>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</si>
  <si>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</si>
  <si>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</si>
  <si>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</si>
  <si>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</si>
  <si>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</si>
  <si>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</si>
  <si>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</si>
  <si>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</si>
  <si>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</si>
  <si>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</si>
  <si>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</si>
  <si>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</si>
  <si>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</si>
  <si>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</si>
  <si>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</si>
  <si>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</si>
  <si>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</si>
  <si>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</si>
  <si>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</si>
  <si>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</si>
  <si>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</si>
  <si>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</si>
  <si>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</si>
  <si>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</si>
  <si>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</si>
  <si>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</si>
  <si>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</si>
  <si>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</si>
  <si>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</si>
  <si>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</si>
  <si>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</si>
  <si>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</si>
  <si>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</si>
  <si>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</si>
  <si>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</si>
  <si>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</si>
  <si>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</si>
  <si>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</si>
  <si>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</si>
  <si>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</si>
  <si>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</si>
  <si>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</si>
  <si>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</si>
  <si>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</si>
  <si>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</si>
  <si>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</si>
  <si>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</si>
  <si>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</si>
  <si>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</si>
  <si>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</si>
  <si>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</si>
  <si>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</si>
  <si>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</si>
  <si>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</si>
  <si>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</si>
  <si>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</si>
  <si>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</si>
  <si>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</si>
  <si>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</si>
  <si>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</si>
  <si>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</si>
  <si>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</si>
  <si>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</si>
  <si>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</si>
  <si>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</si>
  <si>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</si>
  <si>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</si>
  <si>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</si>
  <si>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</si>
  <si>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</si>
  <si>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</si>
  <si>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</si>
  <si>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</si>
  <si>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</si>
  <si>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</si>
  <si>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</si>
  <si>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</si>
  <si>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</si>
  <si>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</si>
  <si>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</si>
  <si>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</si>
  <si>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</si>
  <si>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</si>
  <si>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</si>
  <si>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</si>
  <si>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</si>
  <si>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</si>
  <si>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</si>
  <si>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</si>
  <si>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</si>
  <si>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</si>
  <si>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</si>
  <si>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</si>
  <si>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</si>
  <si>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</si>
  <si>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</si>
  <si>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</si>
  <si>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</si>
  <si>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</si>
  <si>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</si>
  <si>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</si>
  <si>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</si>
  <si>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</si>
  <si>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</si>
  <si>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</si>
  <si>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</si>
  <si>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</si>
  <si>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</si>
  <si>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</si>
  <si>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</si>
  <si>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</si>
  <si>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</si>
  <si>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</si>
  <si>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</si>
  <si>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</si>
  <si>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</si>
  <si>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</si>
  <si>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</si>
  <si>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</si>
  <si>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</si>
  <si>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</si>
  <si>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</si>
  <si>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</si>
  <si>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</si>
  <si>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</si>
  <si>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</si>
  <si>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</si>
  <si>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</si>
  <si>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</si>
  <si>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</si>
  <si>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</si>
  <si>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</si>
  <si>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</si>
  <si>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</si>
  <si>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</si>
  <si>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</si>
  <si>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</si>
  <si>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</si>
  <si>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</si>
  <si>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</si>
  <si>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</si>
  <si>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</si>
  <si>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</si>
  <si>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</si>
  <si>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</si>
  <si>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</si>
  <si>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</si>
  <si>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</si>
  <si>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</si>
  <si>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</si>
  <si>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</si>
  <si>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</si>
  <si>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</si>
  <si>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</si>
  <si>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</si>
  <si>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</si>
  <si>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</si>
  <si>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</si>
  <si>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</si>
  <si>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</si>
  <si>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</si>
  <si>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</si>
  <si>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</si>
  <si>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</si>
  <si>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</si>
  <si>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</si>
  <si>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</si>
  <si>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</si>
  <si>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</si>
  <si>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</si>
  <si>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</si>
  <si>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</si>
  <si>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</si>
  <si>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</si>
  <si>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</si>
  <si>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</si>
  <si>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</si>
  <si>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</si>
  <si>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</si>
  <si>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</si>
  <si>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</si>
  <si>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</si>
  <si>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</si>
  <si>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</si>
  <si>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</si>
  <si>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</si>
  <si>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</si>
  <si>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</si>
  <si>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</si>
  <si>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</si>
  <si>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</si>
  <si>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</si>
  <si>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</si>
  <si>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</si>
  <si>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</si>
  <si>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</si>
  <si>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</si>
  <si>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</si>
  <si>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</si>
  <si>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</si>
  <si>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</si>
  <si>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</si>
  <si>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</si>
  <si>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</si>
  <si>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</si>
  <si>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</si>
  <si>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</si>
  <si>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</si>
  <si>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</si>
  <si>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</si>
  <si>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</si>
  <si>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</si>
  <si>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</si>
  <si>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</si>
  <si>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</si>
  <si>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</si>
  <si>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</si>
  <si>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</si>
  <si>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</si>
  <si>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</si>
  <si>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</si>
  <si>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</si>
  <si>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</si>
  <si>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</si>
  <si>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</si>
  <si>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</si>
  <si>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</si>
  <si>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</si>
  <si>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</si>
  <si>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</si>
  <si>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</si>
  <si>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</si>
  <si>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</si>
  <si>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</si>
  <si>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</si>
  <si>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</si>
  <si>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</si>
  <si>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</si>
  <si>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</si>
  <si>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</si>
  <si>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</si>
  <si>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</si>
  <si>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</si>
  <si>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</si>
  <si>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</si>
  <si>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</si>
  <si>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</si>
  <si>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</si>
  <si>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</si>
  <si>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</si>
  <si>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</si>
  <si>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</si>
  <si>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</si>
  <si>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</si>
  <si>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</si>
  <si>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</si>
  <si>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</si>
  <si>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</si>
  <si>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</si>
  <si>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</si>
  <si>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</si>
  <si>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</si>
  <si>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</si>
  <si>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</si>
  <si>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</si>
  <si>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</si>
  <si>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</si>
  <si>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</si>
  <si>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</si>
  <si>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</si>
  <si>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</si>
  <si>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</si>
  <si>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</si>
  <si>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</si>
  <si>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</si>
  <si>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</si>
  <si>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</si>
  <si>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</si>
  <si>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</si>
  <si>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</si>
  <si>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</si>
  <si>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</si>
  <si>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</si>
  <si>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</si>
  <si>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</si>
  <si>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</si>
  <si>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</si>
  <si>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</si>
  <si>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</si>
  <si>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</si>
  <si>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</si>
  <si>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</si>
  <si>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</si>
  <si>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</si>
  <si>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</si>
  <si>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</si>
  <si>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</si>
  <si>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</si>
  <si>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</si>
  <si>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</si>
  <si>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</si>
  <si>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</si>
  <si>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</si>
  <si>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</si>
  <si>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</si>
  <si>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</si>
  <si>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</si>
  <si>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</si>
  <si>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</si>
  <si>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</si>
  <si>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</si>
  <si>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</si>
  <si>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</si>
  <si>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</si>
  <si>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</si>
  <si>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</si>
  <si>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</si>
  <si>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</si>
  <si>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</si>
  <si>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</si>
  <si>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</si>
  <si>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</si>
  <si>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</si>
  <si>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</si>
  <si>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</si>
  <si>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</si>
  <si>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</si>
  <si>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</si>
  <si>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</si>
  <si>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</si>
  <si>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</si>
  <si>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</si>
  <si>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</si>
  <si>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</si>
  <si>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</si>
  <si>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</si>
  <si>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</si>
  <si>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</si>
  <si>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</si>
  <si>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</si>
  <si>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</si>
  <si>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</si>
  <si>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</si>
  <si>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</si>
  <si>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</si>
  <si>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</si>
  <si>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</si>
  <si>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</si>
  <si>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</si>
  <si>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</si>
  <si>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</si>
  <si>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</si>
  <si>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</si>
  <si>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</si>
  <si>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</si>
  <si>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</si>
  <si>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</si>
  <si>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</si>
  <si>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</si>
  <si>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</si>
  <si>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</si>
  <si>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</si>
  <si>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</si>
  <si>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</si>
  <si>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</si>
  <si>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</si>
  <si>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</si>
  <si>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</si>
  <si>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</si>
  <si>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</si>
  <si>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</si>
  <si>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</si>
  <si>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</si>
  <si>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</si>
  <si>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</si>
  <si>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</si>
  <si>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</si>
  <si>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</si>
  <si>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</si>
  <si>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</si>
  <si>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</si>
  <si>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</si>
  <si>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</si>
  <si>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</si>
  <si>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</si>
  <si>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</si>
  <si>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</si>
  <si>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</si>
  <si>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</si>
  <si>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</si>
  <si>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</si>
  <si>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</si>
  <si>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</si>
  <si>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</si>
  <si>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</si>
  <si>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</si>
  <si>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</si>
  <si>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</si>
  <si>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</si>
  <si>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</si>
  <si>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</si>
  <si>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</si>
  <si>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</si>
  <si>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</si>
  <si>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</si>
  <si>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</si>
  <si>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</si>
  <si>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</si>
  <si>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</si>
  <si>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</si>
  <si>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</si>
  <si>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</si>
  <si>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</si>
  <si>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</si>
  <si>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</si>
  <si>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</si>
  <si>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</si>
  <si>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</si>
  <si>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</si>
  <si>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</si>
  <si>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</si>
  <si>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</si>
  <si>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</si>
  <si>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</si>
  <si>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</si>
  <si>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</si>
  <si>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</si>
  <si>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</si>
  <si>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</si>
  <si>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</si>
  <si>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</si>
  <si>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</si>
  <si>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</si>
  <si>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</si>
  <si>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</si>
  <si>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</si>
  <si>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</si>
  <si>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</si>
  <si>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</si>
  <si>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</si>
  <si>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</si>
  <si>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</si>
  <si>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</si>
  <si>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</si>
  <si>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</si>
  <si>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</si>
  <si>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</si>
  <si>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</si>
  <si>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</si>
  <si>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</si>
  <si>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</si>
  <si>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</si>
  <si>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</si>
  <si>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</si>
  <si>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</si>
  <si>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</si>
  <si>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</si>
  <si>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</si>
  <si>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</si>
  <si>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</si>
  <si>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</si>
  <si>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</si>
  <si>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</si>
  <si>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</si>
  <si>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</si>
  <si>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</si>
  <si>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</si>
  <si>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</si>
  <si>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</si>
  <si>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</si>
  <si>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</si>
  <si>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</si>
  <si>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</si>
  <si>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</si>
  <si>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</si>
  <si>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</si>
  <si>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</si>
  <si>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</si>
  <si>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</si>
  <si>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</si>
  <si>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</si>
  <si>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</si>
  <si>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</si>
  <si>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</si>
  <si>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</si>
  <si>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</si>
  <si>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</si>
  <si>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</si>
  <si>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</si>
  <si>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</si>
  <si>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</si>
  <si>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</si>
  <si>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</si>
  <si>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</si>
  <si>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</si>
  <si>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</si>
  <si>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</si>
  <si>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</si>
  <si>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</si>
  <si>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</si>
  <si>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</si>
  <si>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</si>
  <si>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</si>
  <si>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</si>
  <si>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</si>
  <si>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</si>
  <si>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</si>
  <si>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</si>
  <si>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</si>
  <si>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</si>
  <si>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</si>
  <si>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</si>
  <si>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</si>
  <si>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</si>
  <si>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</si>
  <si>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</si>
  <si>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</si>
  <si>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</si>
  <si>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</si>
  <si>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</si>
  <si>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</si>
  <si>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</si>
  <si>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</si>
  <si>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</si>
  <si>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</si>
  <si>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</si>
  <si>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</si>
  <si>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</si>
  <si>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</si>
  <si>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</si>
  <si>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</si>
  <si>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</si>
  <si>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</si>
  <si>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</si>
  <si>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</si>
  <si>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</si>
  <si>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</si>
  <si>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</si>
  <si>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</si>
  <si>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</si>
  <si>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</si>
  <si>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</si>
  <si>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</si>
  <si>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</si>
  <si>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</si>
  <si>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</si>
  <si>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</si>
  <si>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</si>
  <si>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</si>
  <si>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</si>
  <si>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</si>
  <si>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</si>
  <si>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</si>
  <si>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</si>
  <si>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</si>
  <si>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</si>
  <si>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</si>
  <si>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</si>
  <si>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</si>
  <si>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</si>
  <si>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</si>
  <si>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</si>
  <si>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</si>
  <si>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</si>
  <si>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</si>
  <si>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</si>
  <si>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</si>
  <si>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</si>
  <si>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</si>
  <si>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</si>
  <si>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</si>
  <si>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</si>
  <si>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</si>
  <si>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</si>
  <si>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</si>
  <si>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</si>
  <si>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</si>
  <si>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</si>
  <si>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</si>
  <si>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</si>
  <si>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</si>
  <si>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</si>
  <si>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</si>
  <si>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</si>
  <si>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</si>
  <si>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</si>
  <si>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</si>
  <si>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</si>
  <si>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</si>
  <si>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</si>
  <si>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</si>
  <si>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</si>
  <si>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</si>
  <si>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</si>
  <si>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</si>
  <si>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</si>
  <si>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</si>
  <si>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</si>
  <si>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</si>
  <si>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</si>
  <si>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</si>
  <si>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</si>
  <si>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</si>
  <si>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</si>
  <si>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</si>
  <si>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</si>
  <si>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</si>
  <si>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</si>
  <si>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</si>
  <si>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</si>
  <si>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</si>
  <si>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</si>
  <si>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</si>
  <si>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</si>
  <si>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</si>
  <si>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</si>
  <si>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</si>
  <si>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</si>
  <si>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</si>
  <si>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</si>
  <si>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</si>
  <si>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</si>
  <si>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</si>
  <si>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</si>
  <si>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</si>
  <si>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</si>
  <si>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</si>
  <si>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</si>
  <si>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</si>
  <si>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</si>
  <si>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</si>
  <si>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</si>
  <si>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</si>
  <si>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</si>
  <si>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</si>
  <si>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</si>
  <si>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</si>
  <si>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</si>
  <si>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</si>
  <si>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</si>
  <si>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</si>
  <si>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</si>
  <si>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</si>
  <si>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</si>
  <si>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</si>
  <si>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</si>
  <si>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</si>
  <si>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</si>
  <si>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</si>
  <si>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</si>
  <si>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</si>
  <si>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</si>
  <si>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</si>
  <si>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</si>
  <si>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</si>
  <si>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</si>
  <si>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</si>
  <si>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</si>
  <si>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</si>
  <si>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</si>
  <si>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</si>
  <si>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</si>
  <si>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</si>
  <si>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</si>
  <si>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</si>
  <si>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</si>
  <si>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</si>
  <si>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</si>
  <si>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</si>
  <si>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</si>
  <si>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</si>
  <si>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</si>
  <si>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</si>
  <si>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</si>
  <si>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</si>
  <si>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</si>
  <si>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</si>
  <si>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</si>
  <si>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</si>
  <si>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</si>
  <si>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</si>
  <si>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</si>
  <si>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</si>
  <si>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</si>
  <si>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</si>
  <si>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</si>
  <si>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</si>
  <si>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</si>
  <si>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</si>
  <si>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</si>
  <si>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</si>
  <si>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</si>
  <si>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</si>
  <si>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</si>
  <si>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</si>
  <si>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</si>
  <si>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</si>
  <si>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</si>
  <si>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</si>
  <si>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</si>
  <si>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</si>
  <si>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</si>
  <si>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</si>
  <si>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</si>
  <si>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</si>
  <si>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</si>
  <si>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</si>
  <si>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</si>
  <si>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</si>
  <si>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</si>
  <si>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</si>
  <si>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</si>
  <si>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</si>
  <si>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</si>
  <si>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</si>
  <si>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</si>
  <si>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</si>
  <si>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</si>
  <si>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</si>
  <si>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</si>
  <si>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</si>
  <si>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</si>
  <si>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</si>
  <si>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</si>
  <si>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</si>
  <si>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</si>
  <si>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</si>
  <si>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</si>
  <si>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</si>
  <si>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</si>
  <si>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</si>
  <si>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</si>
  <si>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</si>
  <si>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</si>
  <si>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</si>
  <si>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</si>
  <si>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</si>
  <si>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</si>
  <si>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</si>
  <si>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</si>
  <si>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</si>
  <si>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</si>
  <si>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</si>
  <si>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</si>
  <si>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</si>
  <si>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</si>
  <si>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</si>
  <si>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</si>
  <si>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</si>
  <si>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</si>
  <si>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</si>
  <si>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</si>
  <si>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</si>
  <si>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</si>
  <si>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</si>
  <si>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</si>
  <si>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</si>
  <si>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</si>
  <si>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</si>
  <si>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</si>
  <si>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</si>
  <si>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</si>
  <si>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</si>
  <si>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</si>
  <si>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</si>
  <si>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</si>
  <si>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</si>
  <si>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</si>
  <si>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</si>
  <si>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</si>
  <si>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</si>
  <si>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</si>
  <si>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</si>
  <si>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</si>
  <si>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</si>
  <si>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</si>
  <si>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</si>
  <si>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</si>
  <si>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</si>
  <si>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</si>
  <si>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</si>
  <si>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</si>
  <si>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</si>
  <si>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</si>
  <si>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</si>
  <si>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</si>
  <si>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</si>
  <si>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</si>
  <si>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</si>
  <si>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</si>
  <si>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</si>
  <si>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</si>
  <si>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</si>
  <si>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</si>
  <si>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</si>
  <si>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</si>
  <si>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</si>
  <si>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</si>
  <si>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</si>
  <si>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</si>
  <si>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</si>
  <si>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</si>
  <si>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</si>
  <si>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</si>
  <si>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</si>
  <si>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</si>
  <si>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</si>
  <si>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</si>
  <si>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</si>
  <si>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</si>
  <si>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</si>
  <si>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</si>
  <si>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</si>
  <si>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</si>
  <si>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</si>
  <si>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</si>
  <si>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</si>
  <si>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</si>
  <si>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</si>
  <si>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</si>
  <si>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</si>
  <si>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</si>
  <si>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</si>
  <si>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</si>
  <si>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</si>
  <si>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</si>
  <si>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</si>
  <si>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</si>
  <si>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</si>
  <si>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</si>
  <si>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</si>
  <si>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</si>
  <si>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</si>
  <si>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</si>
  <si>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</si>
  <si>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</si>
  <si>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</si>
  <si>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</si>
  <si>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</si>
  <si>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</si>
  <si>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</si>
  <si>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</si>
  <si>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</si>
  <si>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</si>
  <si>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</si>
  <si>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</si>
  <si>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</si>
  <si>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</si>
  <si>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</si>
  <si>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</si>
  <si>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</si>
  <si>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</si>
  <si>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</si>
  <si>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</si>
  <si>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</si>
  <si>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</si>
  <si>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</si>
  <si>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</si>
  <si>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</si>
  <si>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</si>
  <si>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</si>
  <si>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</si>
  <si>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</si>
  <si>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</si>
  <si>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</si>
  <si>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</si>
  <si>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</si>
  <si>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</si>
  <si>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</si>
  <si>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</si>
  <si>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</si>
  <si>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</si>
  <si>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</si>
  <si>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</si>
  <si>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</si>
  <si>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</si>
  <si>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</si>
  <si>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</si>
  <si>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</si>
  <si>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</si>
  <si>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</si>
  <si>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</si>
  <si>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</si>
  <si>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</si>
  <si>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</si>
  <si>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</si>
  <si>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</si>
  <si>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</si>
  <si>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</si>
  <si>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</si>
  <si>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</si>
  <si>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</si>
  <si>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</si>
  <si>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</si>
  <si>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</si>
  <si>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</si>
  <si>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</si>
  <si>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</si>
  <si>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</si>
  <si>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</si>
  <si>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</si>
  <si>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</si>
  <si>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</si>
  <si>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</si>
  <si>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</si>
  <si>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</si>
  <si>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</si>
  <si>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</si>
  <si>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</si>
  <si>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</si>
  <si>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</si>
  <si>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</si>
  <si>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</si>
  <si>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</si>
  <si>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</si>
  <si>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</si>
  <si>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</si>
  <si>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</si>
  <si>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</si>
  <si>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</si>
  <si>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</si>
  <si>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</si>
  <si>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</si>
  <si>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</si>
  <si>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</si>
  <si>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</si>
  <si>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</si>
  <si>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</si>
  <si>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</si>
  <si>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</si>
  <si>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</si>
  <si>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</si>
  <si>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</si>
  <si>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</si>
  <si>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</si>
  <si>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</si>
  <si>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</si>
  <si>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</si>
  <si>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</si>
  <si>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</si>
  <si>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</si>
  <si>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</si>
  <si>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</si>
  <si>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</si>
  <si>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</si>
  <si>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</si>
  <si>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</si>
  <si>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</si>
  <si>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</si>
  <si>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</si>
  <si>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</si>
  <si>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</si>
  <si>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</si>
  <si>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</si>
  <si>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</si>
  <si>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</si>
  <si>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</si>
  <si>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</si>
  <si>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</si>
  <si>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</si>
  <si>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</si>
  <si>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</si>
  <si>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</si>
  <si>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</si>
  <si>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</si>
  <si>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</si>
  <si>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</si>
  <si>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</si>
  <si>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</si>
  <si>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</si>
  <si>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</si>
  <si>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</si>
  <si>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</si>
  <si>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</si>
  <si>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</si>
  <si>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</si>
  <si>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</si>
  <si>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</si>
  <si>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</si>
  <si>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</si>
  <si>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</si>
  <si>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</si>
  <si>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</si>
  <si>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</si>
  <si>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</si>
  <si>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</si>
  <si>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</si>
  <si>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</si>
  <si>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</si>
  <si>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</si>
  <si>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</si>
  <si>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</si>
  <si>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</si>
  <si>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</si>
  <si>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</si>
  <si>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</si>
  <si>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</si>
  <si>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</si>
  <si>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</si>
  <si>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</si>
  <si>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</si>
  <si>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</si>
  <si>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</si>
  <si>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</si>
  <si>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</si>
  <si>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</si>
  <si>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</si>
  <si>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</si>
  <si>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</si>
  <si>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</si>
  <si>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</si>
  <si>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</si>
  <si>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</si>
  <si>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</si>
  <si>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</si>
  <si>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</si>
  <si>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</si>
  <si>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</si>
  <si>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</si>
  <si>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</si>
  <si>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</si>
  <si>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</si>
  <si>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</si>
  <si>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</si>
  <si>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</si>
  <si>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</si>
  <si>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</si>
  <si>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</si>
  <si>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</si>
  <si>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</si>
  <si>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</si>
  <si>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</si>
  <si>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</si>
  <si>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</si>
  <si>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</si>
  <si>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</si>
  <si>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</si>
  <si>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</si>
  <si>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</si>
  <si>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</si>
  <si>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</si>
  <si>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</si>
  <si>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</si>
  <si>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</si>
  <si>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</si>
  <si>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</si>
  <si>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</si>
  <si>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</si>
  <si>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</si>
  <si>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</si>
  <si>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</si>
  <si>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</si>
  <si>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</si>
  <si>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</si>
  <si>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</si>
  <si>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</si>
  <si>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</si>
  <si>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</si>
  <si>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</si>
  <si>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</si>
  <si>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</si>
  <si>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</si>
  <si>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</si>
  <si>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</si>
  <si>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</si>
  <si>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</si>
  <si>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</si>
  <si>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</si>
  <si>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</si>
  <si>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</si>
  <si>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</si>
  <si>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</si>
  <si>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</si>
  <si>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</si>
  <si>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</si>
  <si>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</si>
  <si>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</si>
  <si>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</si>
  <si>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</si>
  <si>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</si>
  <si>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</si>
  <si>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</si>
  <si>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</si>
  <si>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</si>
  <si>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</si>
  <si>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</si>
  <si>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</si>
  <si>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</si>
  <si>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</si>
  <si>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</si>
  <si>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</si>
  <si>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</si>
  <si>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</si>
  <si>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</si>
  <si>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</si>
  <si>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</si>
  <si>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</si>
  <si>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</si>
  <si>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</si>
  <si>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</si>
  <si>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</si>
  <si>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</si>
  <si>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</si>
  <si>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</si>
  <si>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</si>
  <si>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</si>
  <si>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</si>
  <si>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</si>
  <si>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</si>
  <si>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</si>
  <si>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</si>
  <si>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</si>
  <si>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</si>
  <si>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</si>
  <si>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</si>
  <si>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</si>
  <si>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</si>
  <si>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</si>
  <si>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</si>
  <si>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</si>
  <si>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</si>
  <si>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</si>
  <si>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</si>
  <si>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</si>
  <si>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</si>
  <si>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</si>
  <si>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</si>
  <si>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</si>
  <si>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</si>
  <si>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</si>
  <si>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</si>
  <si>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</si>
  <si>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</si>
  <si>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</si>
  <si>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</si>
  <si>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</si>
  <si>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</si>
  <si>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</si>
  <si>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</si>
  <si>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</si>
  <si>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</si>
  <si>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</si>
  <si>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</si>
  <si>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</si>
  <si>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</si>
  <si>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</si>
  <si>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</si>
  <si>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</si>
  <si>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</si>
  <si>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</si>
  <si>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</si>
  <si>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</si>
  <si>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</si>
  <si>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</si>
  <si>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</si>
  <si>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</si>
  <si>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</si>
  <si>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</si>
  <si>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</si>
  <si>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</si>
  <si>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</si>
  <si>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</si>
  <si>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</si>
  <si>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</si>
  <si>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</si>
  <si>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</si>
  <si>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</si>
  <si>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</si>
  <si>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</si>
  <si>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</si>
  <si>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</si>
  <si>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</si>
  <si>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</si>
  <si>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</si>
  <si>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</si>
  <si>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</si>
  <si>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</si>
  <si>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</si>
  <si>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</si>
  <si>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</si>
  <si>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</si>
  <si>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</si>
  <si>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</si>
  <si>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</si>
  <si>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</si>
  <si>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</si>
  <si>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</si>
  <si>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</si>
  <si>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</si>
  <si>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</si>
  <si>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</si>
  <si>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</si>
  <si>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</si>
  <si>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</si>
  <si>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</si>
  <si>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</si>
  <si>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</si>
  <si>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</si>
  <si>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</si>
  <si>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</si>
  <si>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</si>
  <si>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</si>
  <si>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</si>
  <si>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</si>
  <si>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</si>
  <si>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</si>
  <si>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</si>
  <si>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</si>
  <si>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</si>
  <si>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</si>
  <si>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</si>
  <si>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</si>
  <si>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</si>
  <si>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</si>
  <si>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</si>
  <si>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</si>
  <si>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</si>
  <si>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</si>
  <si>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</si>
  <si>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</si>
  <si>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</si>
  <si>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</si>
  <si>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</si>
  <si>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</si>
  <si>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</si>
  <si>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</si>
  <si>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</si>
  <si>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</si>
  <si>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</si>
  <si>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</si>
  <si>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</si>
  <si>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</si>
  <si>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</si>
  <si>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</si>
  <si>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</si>
  <si>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</si>
  <si>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</si>
  <si>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</si>
  <si>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</si>
  <si>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</si>
  <si>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</si>
  <si>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</si>
  <si>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</si>
  <si>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</si>
  <si>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</si>
  <si>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</si>
  <si>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</si>
  <si>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</si>
  <si>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</si>
  <si>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</si>
  <si>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</si>
  <si>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</si>
  <si>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</si>
  <si>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</si>
  <si>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</si>
  <si>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</si>
  <si>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</si>
  <si>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</si>
  <si>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</si>
  <si>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</si>
  <si>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</si>
  <si>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</si>
  <si>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</si>
  <si>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</si>
  <si>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</si>
  <si>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</si>
  <si>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</si>
  <si>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</si>
  <si>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</si>
  <si>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</si>
  <si>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</si>
  <si>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</si>
  <si>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</si>
  <si>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</si>
  <si>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</si>
  <si>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</si>
  <si>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</si>
  <si>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</si>
  <si>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</si>
  <si>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</si>
  <si>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</si>
  <si>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</si>
  <si>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</si>
  <si>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</si>
  <si>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</si>
  <si>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</si>
  <si>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</si>
  <si>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</si>
  <si>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</si>
  <si>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</si>
  <si>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</si>
  <si>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</si>
  <si>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</si>
  <si>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</si>
  <si>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</si>
  <si>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</si>
  <si>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</si>
  <si>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</si>
  <si>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</si>
  <si>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</si>
  <si>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</si>
  <si>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</si>
  <si>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</si>
  <si>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</si>
  <si>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</si>
  <si>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</si>
  <si>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</si>
  <si>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</si>
  <si>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</si>
  <si>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</si>
  <si>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</si>
  <si>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</si>
  <si>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</si>
  <si>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</si>
  <si>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</si>
  <si>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</si>
  <si>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</si>
  <si>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</si>
  <si>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</si>
  <si>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</si>
  <si>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</si>
  <si>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</si>
  <si>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</si>
  <si>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</si>
  <si>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</si>
  <si>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</si>
  <si>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</si>
  <si>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</si>
  <si>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</si>
  <si>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</si>
  <si>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</si>
  <si>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</si>
  <si>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</si>
  <si>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</si>
  <si>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</si>
  <si>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</si>
  <si>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</si>
  <si>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</si>
  <si>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</si>
  <si>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</si>
  <si>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</si>
  <si>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</si>
  <si>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</si>
  <si>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</si>
  <si>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</si>
  <si>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</si>
  <si>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</si>
  <si>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</si>
  <si>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</si>
  <si>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</si>
  <si>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</si>
  <si>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</si>
  <si>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</si>
  <si>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</si>
  <si>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</si>
  <si>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</si>
  <si>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</si>
  <si>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</si>
  <si>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</si>
  <si>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</si>
  <si>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</si>
  <si>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</si>
  <si>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</si>
  <si>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</si>
  <si>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</si>
  <si>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</si>
  <si>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</si>
  <si>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</si>
  <si>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</si>
  <si>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</si>
  <si>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</si>
  <si>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</si>
  <si>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</si>
  <si>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</si>
  <si>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</si>
  <si>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</si>
  <si>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</si>
  <si>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</si>
  <si>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</si>
  <si>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</si>
  <si>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</si>
  <si>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</si>
  <si>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</si>
  <si>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</si>
  <si>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</si>
  <si>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</si>
  <si>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</si>
  <si>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</si>
  <si>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</si>
  <si>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</si>
  <si>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</si>
  <si>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</si>
  <si>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</si>
  <si>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</si>
  <si>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</si>
  <si>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</si>
  <si>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</si>
  <si>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</si>
  <si>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</si>
  <si>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</si>
  <si>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</si>
  <si>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</si>
  <si>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</si>
  <si>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</si>
  <si>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</si>
  <si>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</si>
  <si>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</si>
  <si>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</si>
  <si>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</si>
  <si>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</si>
  <si>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</si>
  <si>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</si>
  <si>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</si>
  <si>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</si>
  <si>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</si>
  <si>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</si>
  <si>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</si>
  <si>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</si>
  <si>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</si>
  <si>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</si>
  <si>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</si>
  <si>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</si>
  <si>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</si>
  <si>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</si>
  <si>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</si>
  <si>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</si>
  <si>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</si>
  <si>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</si>
  <si>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</si>
  <si>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</si>
  <si>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</si>
  <si>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</si>
  <si>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</si>
  <si>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</si>
  <si>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</si>
  <si>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</si>
  <si>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</si>
  <si>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</si>
  <si>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</si>
  <si>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</si>
  <si>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</si>
  <si>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</si>
  <si>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</si>
  <si>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</si>
  <si>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</si>
  <si>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</si>
  <si>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</si>
  <si>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</si>
  <si>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</si>
  <si>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</si>
  <si>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</si>
  <si>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</si>
  <si>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</si>
  <si>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</si>
  <si>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</si>
  <si>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</si>
  <si>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</si>
  <si>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</si>
  <si>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</si>
  <si>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</si>
  <si>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</si>
  <si>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</si>
  <si>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</si>
  <si>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</si>
  <si>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</si>
  <si>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</si>
  <si>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</si>
  <si>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</si>
  <si>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</si>
  <si>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</si>
  <si>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</si>
  <si>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</si>
  <si>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</si>
  <si>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</si>
  <si>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</si>
  <si>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</si>
  <si>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</si>
  <si>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</si>
  <si>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</si>
  <si>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</si>
  <si>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</si>
  <si>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</si>
  <si>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</si>
  <si>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</si>
  <si>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</si>
  <si>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</si>
  <si>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</si>
  <si>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</si>
  <si>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</si>
  <si>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</si>
  <si>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</si>
  <si>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</si>
  <si>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</si>
  <si>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</si>
  <si>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</si>
  <si>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</si>
  <si>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</si>
  <si>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</si>
  <si>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</si>
  <si>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</si>
  <si>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</si>
  <si>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</si>
  <si>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</si>
  <si>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</si>
  <si>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</si>
  <si>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</si>
  <si>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</si>
  <si>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</si>
  <si>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</si>
  <si>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</si>
  <si>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</si>
  <si>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</si>
  <si>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</si>
  <si>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</si>
  <si>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</si>
  <si>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</si>
  <si>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</si>
  <si>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</si>
  <si>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</si>
  <si>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</si>
  <si>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</si>
  <si>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</si>
  <si>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</si>
  <si>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</si>
  <si>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</si>
  <si>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</si>
  <si>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</si>
  <si>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</si>
  <si>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</si>
  <si>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</si>
  <si>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</si>
  <si>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</si>
  <si>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</si>
  <si>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</si>
  <si>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</si>
  <si>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</si>
  <si>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</si>
  <si>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</si>
  <si>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</si>
  <si>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</si>
  <si>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</si>
  <si>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</si>
  <si>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</si>
  <si>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</si>
  <si>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</si>
  <si>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</si>
  <si>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</si>
  <si>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</si>
  <si>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</si>
  <si>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</si>
  <si>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</si>
  <si>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</si>
  <si>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</si>
  <si>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</si>
  <si>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</si>
  <si>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</si>
  <si>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</si>
  <si>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</si>
  <si>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</si>
  <si>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</si>
  <si>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</si>
  <si>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</si>
  <si>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</si>
  <si>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</si>
  <si>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b739</t>
  </si>
  <si>
    <t>d620</t>
  </si>
  <si>
    <t>c915</t>
  </si>
  <si>
    <t>МИЛЕНА ОРЕШЕНСКА</t>
  </si>
  <si>
    <t>ПЕТЯ ПЕТРОВА</t>
  </si>
  <si>
    <t>ИЛИЙЧО ЛАЧОВСКИ</t>
  </si>
  <si>
    <t>milena_kneja@abv.bg</t>
  </si>
  <si>
    <t>www.kneja.acstre.com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</si>
</sst>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13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4" fillId="39" borderId="29" xfId="34" applyNumberFormat="1" applyFont="1" applyFill="1" applyBorder="1" applyAlignment="1" applyProtection="1">
      <alignment horizontal="right" vertical="center"/>
      <protection locked="0"/>
    </xf>
    <xf numFmtId="3" fontId="14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4" fillId="39" borderId="33" xfId="34" applyNumberFormat="1" applyFont="1" applyFill="1" applyBorder="1" applyAlignment="1" applyProtection="1">
      <alignment horizontal="right" vertical="center"/>
      <protection locked="0"/>
    </xf>
    <xf numFmtId="3" fontId="14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4" fillId="39" borderId="38" xfId="34" applyNumberFormat="1" applyFont="1" applyFill="1" applyBorder="1" applyAlignment="1" applyProtection="1">
      <alignment horizontal="right" vertical="center"/>
      <protection locked="0"/>
    </xf>
    <xf numFmtId="3" fontId="14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4" fillId="39" borderId="42" xfId="34" applyNumberFormat="1" applyFont="1" applyFill="1" applyBorder="1" applyAlignment="1" applyProtection="1">
      <alignment horizontal="right" vertical="center"/>
      <protection locked="0"/>
    </xf>
    <xf numFmtId="3" fontId="14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4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5" fillId="39" borderId="28" xfId="42" applyFont="1" applyFill="1" applyBorder="1" applyAlignment="1">
      <alignment horizontal="left" vertical="center" wrapText="1"/>
      <protection/>
    </xf>
    <xf numFmtId="0" fontId="15" fillId="39" borderId="47" xfId="42" applyFont="1" applyFill="1" applyBorder="1" applyAlignment="1">
      <alignment horizontal="left" vertical="center" wrapText="1"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14" fillId="42" borderId="53" xfId="34" applyNumberFormat="1" applyFont="1" applyFill="1" applyBorder="1" applyAlignment="1" applyProtection="1">
      <alignment horizontal="right" vertical="center"/>
      <protection/>
    </xf>
    <xf numFmtId="3" fontId="14" fillId="42" borderId="54" xfId="34" applyNumberFormat="1" applyFont="1" applyFill="1" applyBorder="1" applyAlignment="1" applyProtection="1">
      <alignment horizontal="right" vertical="center"/>
      <protection/>
    </xf>
    <xf numFmtId="3" fontId="14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4" fillId="39" borderId="29" xfId="34" applyNumberFormat="1" applyFont="1" applyFill="1" applyBorder="1" applyAlignment="1" applyProtection="1">
      <alignment horizontal="right" vertical="center"/>
      <protection/>
    </xf>
    <xf numFmtId="3" fontId="14" fillId="39" borderId="27" xfId="34" applyNumberFormat="1" applyFont="1" applyFill="1" applyBorder="1" applyAlignment="1" applyProtection="1">
      <alignment horizontal="right" vertical="center"/>
      <protection/>
    </xf>
    <xf numFmtId="3" fontId="14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4" fillId="39" borderId="42" xfId="34" applyNumberFormat="1" applyFont="1" applyFill="1" applyBorder="1" applyAlignment="1" applyProtection="1">
      <alignment horizontal="right" vertical="center"/>
      <protection/>
    </xf>
    <xf numFmtId="3" fontId="14" fillId="39" borderId="43" xfId="34" applyNumberFormat="1" applyFont="1" applyFill="1" applyBorder="1" applyAlignment="1" applyProtection="1">
      <alignment horizontal="right" vertical="center"/>
      <protection/>
    </xf>
    <xf numFmtId="3" fontId="14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4" fillId="39" borderId="33" xfId="34" applyNumberFormat="1" applyFont="1" applyFill="1" applyBorder="1" applyAlignment="1" applyProtection="1">
      <alignment horizontal="right" vertical="center"/>
      <protection/>
    </xf>
    <xf numFmtId="3" fontId="14" fillId="39" borderId="31" xfId="34" applyNumberFormat="1" applyFont="1" applyFill="1" applyBorder="1" applyAlignment="1" applyProtection="1">
      <alignment horizontal="right" vertical="center"/>
      <protection/>
    </xf>
    <xf numFmtId="3" fontId="14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6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79" fontId="16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6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4" fillId="39" borderId="38" xfId="34" applyNumberFormat="1" applyFont="1" applyFill="1" applyBorder="1" applyAlignment="1" applyProtection="1">
      <alignment horizontal="right" vertical="center"/>
      <protection/>
    </xf>
    <xf numFmtId="3" fontId="14" fillId="39" borderId="36" xfId="34" applyNumberFormat="1" applyFont="1" applyFill="1" applyBorder="1" applyAlignment="1" applyProtection="1">
      <alignment horizontal="right" vertical="center"/>
      <protection/>
    </xf>
    <xf numFmtId="3" fontId="14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4" fillId="39" borderId="70" xfId="34" applyNumberFormat="1" applyFont="1" applyFill="1" applyBorder="1" applyAlignment="1" applyProtection="1">
      <alignment horizontal="right" vertical="center"/>
      <protection/>
    </xf>
    <xf numFmtId="3" fontId="14" fillId="39" borderId="67" xfId="34" applyNumberFormat="1" applyFont="1" applyFill="1" applyBorder="1" applyAlignment="1" applyProtection="1">
      <alignment horizontal="right" vertical="center"/>
      <protection/>
    </xf>
    <xf numFmtId="3" fontId="14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4" fillId="39" borderId="75" xfId="34" applyNumberFormat="1" applyFont="1" applyFill="1" applyBorder="1" applyAlignment="1" applyProtection="1">
      <alignment horizontal="right" vertical="center"/>
      <protection/>
    </xf>
    <xf numFmtId="3" fontId="14" fillId="39" borderId="72" xfId="34" applyNumberFormat="1" applyFont="1" applyFill="1" applyBorder="1" applyAlignment="1" applyProtection="1">
      <alignment horizontal="right" vertical="center"/>
      <protection/>
    </xf>
    <xf numFmtId="3" fontId="14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4" fillId="39" borderId="80" xfId="34" applyNumberFormat="1" applyFont="1" applyFill="1" applyBorder="1" applyAlignment="1" applyProtection="1">
      <alignment horizontal="right" vertical="center"/>
      <protection/>
    </xf>
    <xf numFmtId="3" fontId="14" fillId="39" borderId="77" xfId="34" applyNumberFormat="1" applyFont="1" applyFill="1" applyBorder="1" applyAlignment="1" applyProtection="1">
      <alignment horizontal="right" vertical="center"/>
      <protection/>
    </xf>
    <xf numFmtId="3" fontId="14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5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5" fillId="39" borderId="32" xfId="42" applyFont="1" applyFill="1" applyBorder="1" applyAlignment="1" applyProtection="1">
      <alignment horizontal="left" vertical="center" wrapText="1"/>
      <protection/>
    </xf>
    <xf numFmtId="0" fontId="15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4" fillId="39" borderId="65" xfId="34" applyNumberFormat="1" applyFont="1" applyFill="1" applyBorder="1" applyAlignment="1" applyProtection="1">
      <alignment horizontal="right" vertical="center"/>
      <protection/>
    </xf>
    <xf numFmtId="3" fontId="14" fillId="39" borderId="10" xfId="34" applyNumberFormat="1" applyFont="1" applyFill="1" applyBorder="1" applyAlignment="1" applyProtection="1">
      <alignment horizontal="right" vertical="center"/>
      <protection/>
    </xf>
    <xf numFmtId="3" fontId="14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4" fillId="39" borderId="28" xfId="34" applyFont="1" applyFill="1" applyBorder="1" applyAlignment="1" applyProtection="1">
      <alignment vertical="center" wrapText="1"/>
      <protection/>
    </xf>
    <xf numFmtId="0" fontId="14" fillId="39" borderId="32" xfId="34" applyFont="1" applyFill="1" applyBorder="1" applyAlignment="1" applyProtection="1">
      <alignment vertical="center" wrapText="1"/>
      <protection/>
    </xf>
    <xf numFmtId="0" fontId="14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4" fillId="39" borderId="87" xfId="34" applyNumberFormat="1" applyFont="1" applyFill="1" applyBorder="1" applyAlignment="1" applyProtection="1">
      <alignment horizontal="right" vertical="center"/>
      <protection/>
    </xf>
    <xf numFmtId="3" fontId="14" fillId="39" borderId="84" xfId="34" applyNumberFormat="1" applyFont="1" applyFill="1" applyBorder="1" applyAlignment="1" applyProtection="1">
      <alignment horizontal="right" vertical="center"/>
      <protection/>
    </xf>
    <xf numFmtId="3" fontId="14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4" fillId="39" borderId="75" xfId="34" applyNumberFormat="1" applyFont="1" applyFill="1" applyBorder="1" applyAlignment="1" applyProtection="1">
      <alignment horizontal="right" vertical="center"/>
      <protection locked="0"/>
    </xf>
    <xf numFmtId="3" fontId="14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4" fillId="39" borderId="70" xfId="34" applyNumberFormat="1" applyFont="1" applyFill="1" applyBorder="1" applyAlignment="1" applyProtection="1">
      <alignment horizontal="right" vertical="center"/>
      <protection locked="0"/>
    </xf>
    <xf numFmtId="3" fontId="14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4" fillId="39" borderId="59" xfId="42" applyFont="1" applyFill="1" applyBorder="1" applyAlignment="1">
      <alignment horizontal="left" vertical="center" wrapText="1"/>
      <protection/>
    </xf>
    <xf numFmtId="3" fontId="14" fillId="39" borderId="94" xfId="34" applyNumberFormat="1" applyFont="1" applyFill="1" applyBorder="1" applyAlignment="1" applyProtection="1">
      <alignment horizontal="right" vertical="center"/>
      <protection locked="0"/>
    </xf>
    <xf numFmtId="3" fontId="14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4" fillId="39" borderId="0" xfId="42" applyFont="1" applyFill="1" applyBorder="1" applyAlignment="1">
      <alignment horizontal="left" vertical="center" wrapText="1"/>
      <protection/>
    </xf>
    <xf numFmtId="3" fontId="14" fillId="39" borderId="23" xfId="34" applyNumberFormat="1" applyFont="1" applyFill="1" applyBorder="1" applyAlignment="1" applyProtection="1">
      <alignment horizontal="right" vertical="center"/>
      <protection locked="0"/>
    </xf>
    <xf numFmtId="3" fontId="14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4" fillId="39" borderId="0" xfId="34" applyNumberFormat="1" applyFont="1" applyFill="1" applyBorder="1" applyAlignment="1">
      <alignment vertical="center"/>
      <protection/>
    </xf>
    <xf numFmtId="3" fontId="14" fillId="39" borderId="11" xfId="34" applyNumberFormat="1" applyFont="1" applyFill="1" applyBorder="1" applyAlignment="1" applyProtection="1">
      <alignment vertical="center"/>
      <protection/>
    </xf>
    <xf numFmtId="3" fontId="14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4" fillId="39" borderId="25" xfId="34" applyNumberFormat="1" applyFont="1" applyFill="1" applyBorder="1" applyAlignment="1">
      <alignment vertical="center"/>
      <protection/>
    </xf>
    <xf numFmtId="3" fontId="14" fillId="39" borderId="98" xfId="34" applyNumberFormat="1" applyFont="1" applyFill="1" applyBorder="1" applyAlignment="1" applyProtection="1">
      <alignment vertical="center"/>
      <protection/>
    </xf>
    <xf numFmtId="3" fontId="14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9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95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95" xfId="34" applyNumberFormat="1" applyFont="1" applyFill="1" applyBorder="1" applyAlignment="1" applyProtection="1" quotePrefix="1">
      <alignment horizontal="center" vertical="center"/>
      <protection/>
    </xf>
    <xf numFmtId="3" fontId="25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4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4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4" fillId="39" borderId="80" xfId="34" applyNumberFormat="1" applyFont="1" applyFill="1" applyBorder="1" applyAlignment="1" applyProtection="1">
      <alignment horizontal="right" vertical="center"/>
      <protection locked="0"/>
    </xf>
    <xf numFmtId="3" fontId="14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3" fontId="14" fillId="39" borderId="65" xfId="34" applyNumberFormat="1" applyFont="1" applyFill="1" applyBorder="1" applyAlignment="1" applyProtection="1">
      <alignment horizontal="right" vertical="center"/>
      <protection locked="0"/>
    </xf>
    <xf numFmtId="3" fontId="14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5" fillId="39" borderId="41" xfId="42" applyFont="1" applyFill="1" applyBorder="1" applyAlignment="1">
      <alignment horizontal="left" vertical="center" wrapText="1"/>
      <protection/>
    </xf>
    <xf numFmtId="0" fontId="14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4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4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13" fillId="36" borderId="153" xfId="37" applyNumberFormat="1" applyFont="1" applyFill="1" applyBorder="1" applyAlignment="1" applyProtection="1">
      <alignment horizontal="center"/>
      <protection/>
    </xf>
    <xf numFmtId="0" fontId="14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4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4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100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14" fillId="39" borderId="30" xfId="34" applyNumberFormat="1" applyFont="1" applyFill="1" applyBorder="1" applyAlignment="1" applyProtection="1">
      <alignment horizontal="right" vertical="center"/>
      <protection locked="0"/>
    </xf>
    <xf numFmtId="3" fontId="14" fillId="39" borderId="39" xfId="34" applyNumberFormat="1" applyFont="1" applyFill="1" applyBorder="1" applyAlignment="1" applyProtection="1">
      <alignment horizontal="right" vertical="center"/>
      <protection locked="0"/>
    </xf>
    <xf numFmtId="3" fontId="14" fillId="39" borderId="87" xfId="34" applyNumberFormat="1" applyFont="1" applyFill="1" applyBorder="1" applyAlignment="1" applyProtection="1">
      <alignment horizontal="right" vertical="center"/>
      <protection locked="0"/>
    </xf>
    <xf numFmtId="3" fontId="14" fillId="39" borderId="84" xfId="34" applyNumberFormat="1" applyFont="1" applyFill="1" applyBorder="1" applyAlignment="1" applyProtection="1">
      <alignment horizontal="right" vertical="center"/>
      <protection locked="0"/>
    </xf>
    <xf numFmtId="3" fontId="14" fillId="39" borderId="88" xfId="34" applyNumberFormat="1" applyFont="1" applyFill="1" applyBorder="1" applyAlignment="1" applyProtection="1">
      <alignment horizontal="right" vertical="center"/>
      <protection locked="0"/>
    </xf>
    <xf numFmtId="3" fontId="14" fillId="39" borderId="34" xfId="34" applyNumberFormat="1" applyFont="1" applyFill="1" applyBorder="1" applyAlignment="1" applyProtection="1">
      <alignment horizontal="right" vertical="center"/>
      <protection locked="0"/>
    </xf>
    <xf numFmtId="3" fontId="14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4" fillId="39" borderId="76" xfId="34" applyNumberFormat="1" applyFont="1" applyFill="1" applyBorder="1" applyAlignment="1" applyProtection="1">
      <alignment horizontal="right" vertical="center"/>
      <protection locked="0"/>
    </xf>
    <xf numFmtId="3" fontId="14" fillId="39" borderId="83" xfId="34" applyNumberFormat="1" applyFont="1" applyFill="1" applyBorder="1" applyAlignment="1" applyProtection="1">
      <alignment horizontal="right" vertical="center"/>
      <protection locked="0"/>
    </xf>
    <xf numFmtId="3" fontId="14" fillId="39" borderId="81" xfId="34" applyNumberFormat="1" applyFont="1" applyFill="1" applyBorder="1" applyAlignment="1" applyProtection="1">
      <alignment horizontal="right" vertical="center"/>
      <protection locked="0"/>
    </xf>
    <xf numFmtId="3" fontId="14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6" fillId="71" borderId="0" xfId="45" applyFont="1" applyFill="1" applyBorder="1">
      <alignment/>
      <protection/>
    </xf>
    <xf numFmtId="0" fontId="16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6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4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4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4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4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1" fillId="48" borderId="25" xfId="34" applyFont="1" applyFill="1" applyBorder="1" applyAlignment="1" applyProtection="1">
      <alignment vertical="center" wrapText="1"/>
      <protection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4" fillId="39" borderId="122" xfId="47" applyNumberFormat="1" applyFont="1" applyFill="1" applyBorder="1" applyAlignment="1" applyProtection="1">
      <alignment horizontal="center"/>
      <protection/>
    </xf>
    <xf numFmtId="38" fontId="14" fillId="39" borderId="41" xfId="47" applyNumberFormat="1" applyFont="1" applyFill="1" applyBorder="1" applyAlignment="1" applyProtection="1">
      <alignment horizontal="center"/>
      <protection/>
    </xf>
    <xf numFmtId="38" fontId="14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07"/>
  <sheetViews>
    <sheetView showZeros="0" view="pageBreakPreview" zoomScale="60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6511</v>
      </c>
      <c r="H2" s="1027"/>
      <c r="I2" s="1621" t="str">
        <f>+OTCHET!H601</f>
        <v>www.kneja.acstre.com</v>
      </c>
      <c r="J2" s="1622"/>
      <c r="K2" s="1018"/>
      <c r="L2" s="1623" t="str">
        <f>OTCHET!H599</f>
        <v>milena_kneja@abv.bg</v>
      </c>
      <c r="M2" s="1624"/>
      <c r="N2" s="1625"/>
      <c r="O2" s="1028"/>
      <c r="P2" s="1029">
        <f>OTCHET!E15</f>
        <v>97</v>
      </c>
      <c r="Q2" s="1030" t="str">
        <f>OTCHET!F15</f>
        <v>СЕС - ДМП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15693</v>
      </c>
      <c r="J50" s="1107">
        <f>+IF(OR($P$2=98,$P$2=42,$P$2=96,$P$2=97),$Q50,0)</f>
        <v>15693</v>
      </c>
      <c r="K50" s="1100"/>
      <c r="L50" s="1107">
        <f>+IF($P$2=33,$Q50,0)</f>
        <v>0</v>
      </c>
      <c r="M50" s="1100"/>
      <c r="N50" s="1137">
        <f>+ROUND(+G50+J50+L50,0)</f>
        <v>15693</v>
      </c>
      <c r="O50" s="1102"/>
      <c r="P50" s="1106">
        <f>+ROUND(OTCHET!E204-SUM(OTCHET!E216:E218)+OTCHET!E269+IF(+OR(OTCHET!$F$12=5500,OTCHET!$F$12=5600),0,+OTCHET!E295),0)</f>
        <v>15693</v>
      </c>
      <c r="Q50" s="1107">
        <f>+ROUND(OTCHET!L204-SUM(OTCHET!L216:L218)+OTCHET!L269+IF(+OR(OTCHET!$F$12=5500,OTCHET!$F$12=5600),0,+OTCHET!L295),0)</f>
        <v>15693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6018</v>
      </c>
      <c r="J53" s="1125">
        <f>+IF(OR($P$2=98,$P$2=42,$P$2=96,$P$2=97),$Q53,0)</f>
        <v>6018</v>
      </c>
      <c r="K53" s="1100"/>
      <c r="L53" s="1125">
        <f>+IF($P$2=33,$Q53,0)</f>
        <v>0</v>
      </c>
      <c r="M53" s="1100"/>
      <c r="N53" s="1126">
        <f>+ROUND(+G53+J53+L53,0)</f>
        <v>6018</v>
      </c>
      <c r="O53" s="1102"/>
      <c r="P53" s="1124">
        <f>+ROUND(OTCHET!E186+OTCHET!E189,0)</f>
        <v>6018</v>
      </c>
      <c r="Q53" s="1125">
        <f>+ROUND(OTCHET!L186+OTCHET!L189,0)</f>
        <v>6018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382</v>
      </c>
      <c r="J54" s="1125">
        <f>+IF(OR($P$2=98,$P$2=42,$P$2=96,$P$2=97),$Q54,0)</f>
        <v>382</v>
      </c>
      <c r="K54" s="1100"/>
      <c r="L54" s="1125">
        <f>+IF($P$2=33,$Q54,0)</f>
        <v>0</v>
      </c>
      <c r="M54" s="1100"/>
      <c r="N54" s="1126">
        <f>+ROUND(+G54+J54+L54,0)</f>
        <v>382</v>
      </c>
      <c r="O54" s="1102"/>
      <c r="P54" s="1124">
        <f>+ROUND(OTCHET!E195+OTCHET!E203,0)</f>
        <v>382</v>
      </c>
      <c r="Q54" s="1125">
        <f>+ROUND(OTCHET!L195+OTCHET!L203,0)</f>
        <v>382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22093</v>
      </c>
      <c r="J55" s="1213">
        <f>+ROUND(+SUM(J50:J54),0)</f>
        <v>22093</v>
      </c>
      <c r="K55" s="1100"/>
      <c r="L55" s="1213">
        <f>+ROUND(+SUM(L50:L54),0)</f>
        <v>0</v>
      </c>
      <c r="M55" s="1100"/>
      <c r="N55" s="1214">
        <f>+ROUND(+SUM(N50:N54),0)</f>
        <v>22093</v>
      </c>
      <c r="O55" s="1102"/>
      <c r="P55" s="1212">
        <f>+ROUND(+SUM(P50:P54),0)</f>
        <v>22093</v>
      </c>
      <c r="Q55" s="1213">
        <f>+ROUND(+SUM(Q50:Q54),0)</f>
        <v>22093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512062</v>
      </c>
      <c r="J58" s="1125">
        <f>+IF(OR($P$2=98,$P$2=42,$P$2=96,$P$2=97),$Q58,0)</f>
        <v>512062</v>
      </c>
      <c r="K58" s="1100"/>
      <c r="L58" s="1125">
        <f>+IF($P$2=33,$Q58,0)</f>
        <v>0</v>
      </c>
      <c r="M58" s="1100"/>
      <c r="N58" s="1126">
        <f>+ROUND(+G58+J58+L58,0)</f>
        <v>512062</v>
      </c>
      <c r="O58" s="1102"/>
      <c r="P58" s="1124">
        <f>+ROUND(+OTCHET!E273+OTCHET!E274,0)</f>
        <v>512062</v>
      </c>
      <c r="Q58" s="1125">
        <f>+ROUND(+OTCHET!L273+OTCHET!L274,0)</f>
        <v>512062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512062</v>
      </c>
      <c r="J62" s="1213">
        <f>+ROUND(+SUM(J57:J60),0)</f>
        <v>512062</v>
      </c>
      <c r="K62" s="1100"/>
      <c r="L62" s="1213">
        <f>+ROUND(+SUM(L57:L60),0)</f>
        <v>0</v>
      </c>
      <c r="M62" s="1100"/>
      <c r="N62" s="1214">
        <f>+ROUND(+SUM(N57:N60),0)</f>
        <v>512062</v>
      </c>
      <c r="O62" s="1102"/>
      <c r="P62" s="1212">
        <f>+ROUND(+SUM(P57:P60),0)</f>
        <v>512062</v>
      </c>
      <c r="Q62" s="1213">
        <f>+ROUND(+SUM(Q57:Q60),0)</f>
        <v>512062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534155</v>
      </c>
      <c r="J76" s="1238">
        <f>+ROUND(J55+J62+J66+J70+J74,0)</f>
        <v>534155</v>
      </c>
      <c r="K76" s="1100"/>
      <c r="L76" s="1238">
        <f>+ROUND(L55+L62+L66+L70+L74,0)</f>
        <v>0</v>
      </c>
      <c r="M76" s="1100"/>
      <c r="N76" s="1239">
        <f>+ROUND(N55+N62+N66+N70+N74,0)</f>
        <v>534155</v>
      </c>
      <c r="O76" s="1102"/>
      <c r="P76" s="1236">
        <f>+ROUND(P55+P62+P66+P70+P74,0)</f>
        <v>534155</v>
      </c>
      <c r="Q76" s="1237">
        <f>+ROUND(Q55+Q62+Q66+Q70+Q74,0)</f>
        <v>534155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317661</v>
      </c>
      <c r="J78" s="1113">
        <f>+IF(OR($P$2=98,$P$2=42,$P$2=96,$P$2=97),$Q78,0)</f>
        <v>317661</v>
      </c>
      <c r="K78" s="1100"/>
      <c r="L78" s="1113">
        <f>+IF($P$2=33,$Q78,0)</f>
        <v>0</v>
      </c>
      <c r="M78" s="1100"/>
      <c r="N78" s="1114">
        <f>+ROUND(+G78+J78+L78,0)</f>
        <v>317661</v>
      </c>
      <c r="O78" s="1102"/>
      <c r="P78" s="1112">
        <f>+ROUND(OTCHET!E413,0)</f>
        <v>317661</v>
      </c>
      <c r="Q78" s="1113">
        <f>+ROUND(OTCHET!L413,0)</f>
        <v>317661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317661</v>
      </c>
      <c r="J80" s="1247">
        <f>+ROUND(J78+J79,0)</f>
        <v>317661</v>
      </c>
      <c r="K80" s="1100"/>
      <c r="L80" s="1247">
        <f>+ROUND(L78+L79,0)</f>
        <v>0</v>
      </c>
      <c r="M80" s="1100"/>
      <c r="N80" s="1248">
        <f>+ROUND(N78+N79,0)</f>
        <v>317661</v>
      </c>
      <c r="O80" s="1102"/>
      <c r="P80" s="1246">
        <f>+ROUND(P78+P79,0)</f>
        <v>317661</v>
      </c>
      <c r="Q80" s="1247">
        <f>+ROUND(Q78+Q79,0)</f>
        <v>317661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-216494</v>
      </c>
      <c r="J82" s="1260">
        <f>+ROUND(J47,0)-ROUND(J76,0)+ROUND(J80,0)</f>
        <v>-216494</v>
      </c>
      <c r="K82" s="1100"/>
      <c r="L82" s="1260">
        <f>+ROUND(L47,0)-ROUND(L76,0)+ROUND(L80,0)</f>
        <v>0</v>
      </c>
      <c r="M82" s="1100"/>
      <c r="N82" s="1261">
        <f>+ROUND(N47,0)-ROUND(N76,0)+ROUND(N80,0)</f>
        <v>-216494</v>
      </c>
      <c r="O82" s="1262"/>
      <c r="P82" s="1259">
        <f>+ROUND(P47,0)-ROUND(P76,0)+ROUND(P80,0)</f>
        <v>-216494</v>
      </c>
      <c r="Q82" s="1260">
        <f>+ROUND(Q47,0)-ROUND(Q76,0)+ROUND(Q80,0)</f>
        <v>-216494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216494</v>
      </c>
      <c r="J83" s="1268">
        <f>+ROUND(J100,0)+ROUND(J119,0)+ROUND(J125,0)-ROUND(J130,0)</f>
        <v>216494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216494</v>
      </c>
      <c r="O83" s="1262"/>
      <c r="P83" s="1267">
        <f>+ROUND(P100,0)+ROUND(P119,0)+ROUND(P125,0)-ROUND(P130,0)</f>
        <v>216494</v>
      </c>
      <c r="Q83" s="1268">
        <f>+ROUND(Q100,0)+ROUND(Q119,0)+ROUND(Q125,0)-ROUND(Q130,0)</f>
        <v>216494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216494</v>
      </c>
      <c r="J122" s="1125">
        <f>+IF(OR($P$2=98,$P$2=42,$P$2=96,$P$2=97),$Q122,0)</f>
        <v>216494</v>
      </c>
      <c r="K122" s="1100"/>
      <c r="L122" s="1125">
        <f>+IF($P$2=33,$Q122,0)</f>
        <v>0</v>
      </c>
      <c r="M122" s="1100"/>
      <c r="N122" s="1126">
        <f>+ROUND(+G122+J122+L122,0)</f>
        <v>216494</v>
      </c>
      <c r="O122" s="1102"/>
      <c r="P122" s="1124">
        <f>+ROUND(OTCHET!E518,0)</f>
        <v>216494</v>
      </c>
      <c r="Q122" s="1125">
        <f>+ROUND(OTCHET!L518,0)</f>
        <v>216494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216494</v>
      </c>
      <c r="J125" s="1247">
        <f>+ROUND(+SUM(J121:J124),0)</f>
        <v>216494</v>
      </c>
      <c r="K125" s="1100"/>
      <c r="L125" s="1247">
        <f>+ROUND(+SUM(L121:L124),0)</f>
        <v>0</v>
      </c>
      <c r="M125" s="1100"/>
      <c r="N125" s="1248">
        <f>+ROUND(+SUM(N121:N124),0)</f>
        <v>216494</v>
      </c>
      <c r="O125" s="1102"/>
      <c r="P125" s="1246">
        <f>+ROUND(+SUM(P121:P124),0)</f>
        <v>216494</v>
      </c>
      <c r="Q125" s="1247">
        <f>+ROUND(+SUM(Q121:Q124),0)</f>
        <v>216494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2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755905511811024" bottom="0.15748031496062992" header="0.15748031496062992" footer="0.15748031496062992"/>
  <pageSetup fitToHeight="13" fitToWidth="1" horizontalDpi="600" verticalDpi="600" orientation="landscape" paperSize="9" scale="64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view="pageBreakPreview" zoomScale="60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ДМП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Кнежа</v>
      </c>
      <c r="C13" s="716"/>
      <c r="D13" s="716"/>
      <c r="E13" s="719" t="str">
        <f>+OTCHET!E12</f>
        <v>код по ЕБК:</v>
      </c>
      <c r="F13" s="235" t="str">
        <f>+OTCHET!F12</f>
        <v>6511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97</v>
      </c>
      <c r="F15" s="722" t="str">
        <f>OTCHET!F15</f>
        <v>СЕС - ДМП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534155</v>
      </c>
      <c r="F38" s="851">
        <f>SUM(F39:F53)-F44-F46-F51-F52</f>
        <v>534155</v>
      </c>
      <c r="G38" s="852">
        <f>SUM(G39:G53)-G44-G46-G51-G52</f>
        <v>0</v>
      </c>
      <c r="H38" s="853">
        <f>SUM(H39:H53)-H44-H46-H51-H52</f>
        <v>534155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6018</v>
      </c>
      <c r="F40" s="819">
        <f t="shared" si="1"/>
        <v>6018</v>
      </c>
      <c r="G40" s="820">
        <f>OTCHET!I189</f>
        <v>0</v>
      </c>
      <c r="H40" s="821">
        <f>OTCHET!J189</f>
        <v>6018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382</v>
      </c>
      <c r="F41" s="819">
        <f t="shared" si="1"/>
        <v>382</v>
      </c>
      <c r="G41" s="820">
        <f>+OTCHET!I195+OTCHET!I203</f>
        <v>0</v>
      </c>
      <c r="H41" s="821">
        <f>+OTCHET!J195+OTCHET!J203</f>
        <v>382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15693</v>
      </c>
      <c r="F42" s="819">
        <f t="shared" si="1"/>
        <v>15693</v>
      </c>
      <c r="G42" s="820">
        <f>+OTCHET!I204+OTCHET!I222+OTCHET!I269</f>
        <v>0</v>
      </c>
      <c r="H42" s="821">
        <f>+OTCHET!J204+OTCHET!J222+OTCHET!J269</f>
        <v>15693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512062</v>
      </c>
      <c r="F48" s="819">
        <f t="shared" si="1"/>
        <v>512062</v>
      </c>
      <c r="G48" s="820">
        <f>OTCHET!I273+OTCHET!I274+OTCHET!I282+OTCHET!I285</f>
        <v>0</v>
      </c>
      <c r="H48" s="821">
        <f>OTCHET!J273+OTCHET!J274+OTCHET!J282+OTCHET!J285</f>
        <v>512062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317661</v>
      </c>
      <c r="F54" s="897">
        <f>+F55+F56+F60</f>
        <v>317661</v>
      </c>
      <c r="G54" s="898">
        <f>+G55+G56+G60</f>
        <v>0</v>
      </c>
      <c r="H54" s="899">
        <f>+H55+H56+H60</f>
        <v>317661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317661</v>
      </c>
      <c r="F56" s="906">
        <f t="shared" si="2"/>
        <v>317661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317661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-216494</v>
      </c>
      <c r="F62" s="932">
        <f>+F22-F38+F54-F61</f>
        <v>-216494</v>
      </c>
      <c r="G62" s="933">
        <f>+G22-G38+G54-G61</f>
        <v>0</v>
      </c>
      <c r="H62" s="934">
        <f>+H22-H38+H54-H61</f>
        <v>-216494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216494</v>
      </c>
      <c r="F64" s="942">
        <f>SUM(+F66+F74+F75+F82+F83+F84+F87+F88+F89+F90+F91+F92+F93)</f>
        <v>216494</v>
      </c>
      <c r="G64" s="943">
        <f>SUM(+G66+G74+G75+G82+G83+G84+G87+G88+G89+G90+G91+G92+G93)</f>
        <v>0</v>
      </c>
      <c r="H64" s="944">
        <f>SUM(+H66+H74+H75+H82+H83+H84+H87+H88+H89+H90+H91+H92+H93)</f>
        <v>216494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216494</v>
      </c>
      <c r="F84" s="910">
        <f>+F85+F86</f>
        <v>216494</v>
      </c>
      <c r="G84" s="911">
        <f>+G85+G86</f>
        <v>0</v>
      </c>
      <c r="H84" s="912">
        <f>+H85+H86</f>
        <v>216494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216494</v>
      </c>
      <c r="F86" s="968">
        <f t="shared" si="5"/>
        <v>216494</v>
      </c>
      <c r="G86" s="969">
        <f>+OTCHET!I515+OTCHET!I518+OTCHET!I538</f>
        <v>0</v>
      </c>
      <c r="H86" s="970">
        <f>+OTCHET!J515+OTCHET!J518+OTCHET!J538</f>
        <v>216494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milena_kneja@abv.bg</v>
      </c>
      <c r="C105" s="991"/>
      <c r="D105" s="991"/>
      <c r="E105" s="673"/>
      <c r="F105" s="707"/>
      <c r="G105" s="1380">
        <f>+OTCHET!E599</f>
        <v>9132</v>
      </c>
      <c r="H105" s="1380">
        <f>+OTCHET!F599</f>
        <v>7839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 t="str">
        <f>+OTCHET!D597</f>
        <v>МИЛЕНА ОРЕШЕНСКА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 t="str">
        <f>+OTCHET!G594</f>
        <v>ПЕТЯ ПЕТРОВА</v>
      </c>
      <c r="F112" s="1694"/>
      <c r="G112" s="1007"/>
      <c r="H112" s="693"/>
      <c r="I112" s="1379" t="str">
        <f>+OTCHET!G597</f>
        <v>ИЛИЙЧО ЛАЧОВСКИ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50" r:id="rId3"/>
  <rowBreaks count="1" manualBreakCount="1">
    <brk id="11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G773"/>
  <sheetViews>
    <sheetView tabSelected="1" zoomScale="75" zoomScaleNormal="75" zoomScalePageLayoutView="0" workbookViewId="0" topLeftCell="C305">
      <selection activeCell="K594" sqref="K59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ДМП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42735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Кнежа</v>
      </c>
      <c r="C12" s="1718"/>
      <c r="D12" s="1719"/>
      <c r="E12" s="118" t="s">
        <v>1037</v>
      </c>
      <c r="F12" s="1600" t="s">
        <v>1599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ДМП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Кнежа</v>
      </c>
      <c r="C178" s="1718"/>
      <c r="D178" s="1719"/>
      <c r="E178" s="234" t="s">
        <v>956</v>
      </c>
      <c r="F178" s="235" t="str">
        <f>$F$12</f>
        <v>6511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97</v>
      </c>
      <c r="F180" s="126" t="str">
        <f>$F$15</f>
        <v>СЕС - ДМП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6018</v>
      </c>
      <c r="F189" s="277">
        <f t="shared" si="43"/>
        <v>0</v>
      </c>
      <c r="G189" s="278">
        <f t="shared" si="43"/>
        <v>6018</v>
      </c>
      <c r="H189" s="279">
        <f t="shared" si="43"/>
        <v>0</v>
      </c>
      <c r="I189" s="277">
        <f t="shared" si="43"/>
        <v>0</v>
      </c>
      <c r="J189" s="278">
        <f t="shared" si="43"/>
        <v>6018</v>
      </c>
      <c r="K189" s="279">
        <f t="shared" si="43"/>
        <v>0</v>
      </c>
      <c r="L189" s="276">
        <f t="shared" si="43"/>
        <v>6018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6018</v>
      </c>
      <c r="F191" s="299">
        <f t="shared" si="44"/>
        <v>0</v>
      </c>
      <c r="G191" s="300">
        <f t="shared" si="44"/>
        <v>6018</v>
      </c>
      <c r="H191" s="301">
        <f t="shared" si="44"/>
        <v>0</v>
      </c>
      <c r="I191" s="299">
        <f t="shared" si="44"/>
        <v>0</v>
      </c>
      <c r="J191" s="300">
        <f t="shared" si="44"/>
        <v>6018</v>
      </c>
      <c r="K191" s="301">
        <f t="shared" si="44"/>
        <v>0</v>
      </c>
      <c r="L191" s="298">
        <f t="shared" si="44"/>
        <v>6018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382</v>
      </c>
      <c r="F195" s="277">
        <f t="shared" si="45"/>
        <v>0</v>
      </c>
      <c r="G195" s="278">
        <f t="shared" si="45"/>
        <v>382</v>
      </c>
      <c r="H195" s="279">
        <f t="shared" si="45"/>
        <v>0</v>
      </c>
      <c r="I195" s="277">
        <f t="shared" si="45"/>
        <v>0</v>
      </c>
      <c r="J195" s="278">
        <f t="shared" si="45"/>
        <v>382</v>
      </c>
      <c r="K195" s="279">
        <f t="shared" si="45"/>
        <v>0</v>
      </c>
      <c r="L195" s="276">
        <f t="shared" si="45"/>
        <v>382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184</v>
      </c>
      <c r="F196" s="285">
        <f t="shared" si="46"/>
        <v>0</v>
      </c>
      <c r="G196" s="286">
        <f t="shared" si="46"/>
        <v>184</v>
      </c>
      <c r="H196" s="287">
        <f t="shared" si="46"/>
        <v>0</v>
      </c>
      <c r="I196" s="285">
        <f t="shared" si="46"/>
        <v>0</v>
      </c>
      <c r="J196" s="286">
        <f t="shared" si="46"/>
        <v>184</v>
      </c>
      <c r="K196" s="287">
        <f t="shared" si="46"/>
        <v>0</v>
      </c>
      <c r="L196" s="284">
        <f t="shared" si="46"/>
        <v>184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125</v>
      </c>
      <c r="F199" s="299">
        <f t="shared" si="46"/>
        <v>0</v>
      </c>
      <c r="G199" s="300">
        <f t="shared" si="46"/>
        <v>125</v>
      </c>
      <c r="H199" s="301">
        <f t="shared" si="46"/>
        <v>0</v>
      </c>
      <c r="I199" s="299">
        <f t="shared" si="46"/>
        <v>0</v>
      </c>
      <c r="J199" s="300">
        <f t="shared" si="46"/>
        <v>125</v>
      </c>
      <c r="K199" s="301">
        <f t="shared" si="46"/>
        <v>0</v>
      </c>
      <c r="L199" s="298">
        <f t="shared" si="46"/>
        <v>125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73</v>
      </c>
      <c r="F200" s="299">
        <f t="shared" si="46"/>
        <v>0</v>
      </c>
      <c r="G200" s="300">
        <f t="shared" si="46"/>
        <v>73</v>
      </c>
      <c r="H200" s="301">
        <f t="shared" si="46"/>
        <v>0</v>
      </c>
      <c r="I200" s="299">
        <f t="shared" si="46"/>
        <v>0</v>
      </c>
      <c r="J200" s="300">
        <f t="shared" si="46"/>
        <v>73</v>
      </c>
      <c r="K200" s="301">
        <f t="shared" si="46"/>
        <v>0</v>
      </c>
      <c r="L200" s="298">
        <f t="shared" si="46"/>
        <v>73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15693</v>
      </c>
      <c r="F204" s="277">
        <f t="shared" si="47"/>
        <v>0</v>
      </c>
      <c r="G204" s="278">
        <f t="shared" si="47"/>
        <v>15693</v>
      </c>
      <c r="H204" s="279">
        <f t="shared" si="47"/>
        <v>0</v>
      </c>
      <c r="I204" s="277">
        <f t="shared" si="47"/>
        <v>0</v>
      </c>
      <c r="J204" s="278">
        <f t="shared" si="47"/>
        <v>15693</v>
      </c>
      <c r="K204" s="279">
        <f t="shared" si="47"/>
        <v>0</v>
      </c>
      <c r="L204" s="313">
        <f t="shared" si="47"/>
        <v>15693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4668</v>
      </c>
      <c r="F211" s="324">
        <f t="shared" si="48"/>
        <v>0</v>
      </c>
      <c r="G211" s="325">
        <f t="shared" si="48"/>
        <v>4668</v>
      </c>
      <c r="H211" s="326">
        <f t="shared" si="48"/>
        <v>0</v>
      </c>
      <c r="I211" s="324">
        <f t="shared" si="48"/>
        <v>0</v>
      </c>
      <c r="J211" s="325">
        <f t="shared" si="48"/>
        <v>4668</v>
      </c>
      <c r="K211" s="326">
        <f t="shared" si="48"/>
        <v>0</v>
      </c>
      <c r="L211" s="323">
        <f t="shared" si="48"/>
        <v>4668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11025</v>
      </c>
      <c r="F214" s="299">
        <f t="shared" si="48"/>
        <v>0</v>
      </c>
      <c r="G214" s="300">
        <f t="shared" si="48"/>
        <v>11025</v>
      </c>
      <c r="H214" s="301">
        <f t="shared" si="48"/>
        <v>0</v>
      </c>
      <c r="I214" s="299">
        <f t="shared" si="48"/>
        <v>0</v>
      </c>
      <c r="J214" s="300">
        <f t="shared" si="48"/>
        <v>11025</v>
      </c>
      <c r="K214" s="301">
        <f t="shared" si="48"/>
        <v>0</v>
      </c>
      <c r="L214" s="298">
        <f t="shared" si="48"/>
        <v>11025</v>
      </c>
      <c r="M214" s="7">
        <f t="shared" si="41"/>
        <v>1</v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512062</v>
      </c>
      <c r="F273" s="277">
        <f t="shared" si="67"/>
        <v>0</v>
      </c>
      <c r="G273" s="278">
        <f t="shared" si="67"/>
        <v>512062</v>
      </c>
      <c r="H273" s="279">
        <f t="shared" si="67"/>
        <v>0</v>
      </c>
      <c r="I273" s="277">
        <f t="shared" si="67"/>
        <v>0</v>
      </c>
      <c r="J273" s="278">
        <f t="shared" si="67"/>
        <v>512062</v>
      </c>
      <c r="K273" s="279">
        <f t="shared" si="67"/>
        <v>0</v>
      </c>
      <c r="L273" s="313">
        <f t="shared" si="67"/>
        <v>512062</v>
      </c>
      <c r="M273" s="7">
        <f t="shared" si="60"/>
        <v>1</v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534155</v>
      </c>
      <c r="F299" s="399">
        <f t="shared" si="76"/>
        <v>0</v>
      </c>
      <c r="G299" s="400">
        <f t="shared" si="76"/>
        <v>534155</v>
      </c>
      <c r="H299" s="401">
        <f t="shared" si="76"/>
        <v>0</v>
      </c>
      <c r="I299" s="399">
        <f t="shared" si="76"/>
        <v>0</v>
      </c>
      <c r="J299" s="400">
        <f t="shared" si="76"/>
        <v>534155</v>
      </c>
      <c r="K299" s="401">
        <f t="shared" si="76"/>
        <v>0</v>
      </c>
      <c r="L299" s="398">
        <f t="shared" si="76"/>
        <v>534155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ДМП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Кнежа</v>
      </c>
      <c r="C347" s="1718"/>
      <c r="D347" s="1719"/>
      <c r="E347" s="413" t="s">
        <v>956</v>
      </c>
      <c r="F347" s="235" t="str">
        <f>$F$12</f>
        <v>6511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97</v>
      </c>
      <c r="F349" s="417" t="str">
        <f>+$F$15</f>
        <v>СЕС - ДМП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85344</v>
      </c>
      <c r="F390" s="462">
        <f t="shared" si="86"/>
        <v>0</v>
      </c>
      <c r="G390" s="477">
        <f t="shared" si="86"/>
        <v>85344</v>
      </c>
      <c r="H390" s="448">
        <f>SUM(H391:H392)</f>
        <v>0</v>
      </c>
      <c r="I390" s="462">
        <f t="shared" si="86"/>
        <v>0</v>
      </c>
      <c r="J390" s="447">
        <f t="shared" si="86"/>
        <v>85344</v>
      </c>
      <c r="K390" s="448">
        <f>SUM(K391:K392)</f>
        <v>0</v>
      </c>
      <c r="L390" s="1384">
        <f t="shared" si="86"/>
        <v>85344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85344</v>
      </c>
      <c r="F391" s="154"/>
      <c r="G391" s="155">
        <v>85344</v>
      </c>
      <c r="H391" s="156">
        <v>0</v>
      </c>
      <c r="I391" s="154"/>
      <c r="J391" s="155">
        <v>85344</v>
      </c>
      <c r="K391" s="156">
        <v>0</v>
      </c>
      <c r="L391" s="1385">
        <f>I391+J391+K391</f>
        <v>85344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232317</v>
      </c>
      <c r="F393" s="462">
        <f t="shared" si="87"/>
        <v>0</v>
      </c>
      <c r="G393" s="477">
        <f t="shared" si="87"/>
        <v>232317</v>
      </c>
      <c r="H393" s="448">
        <f>SUM(H394:H395)</f>
        <v>0</v>
      </c>
      <c r="I393" s="462">
        <f t="shared" si="87"/>
        <v>0</v>
      </c>
      <c r="J393" s="447">
        <f t="shared" si="87"/>
        <v>232317</v>
      </c>
      <c r="K393" s="448">
        <f>SUM(K394:K395)</f>
        <v>0</v>
      </c>
      <c r="L393" s="1384">
        <f t="shared" si="87"/>
        <v>232317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232317</v>
      </c>
      <c r="F394" s="154"/>
      <c r="G394" s="155">
        <v>232317</v>
      </c>
      <c r="H394" s="156">
        <v>0</v>
      </c>
      <c r="I394" s="154"/>
      <c r="J394" s="155">
        <v>232317</v>
      </c>
      <c r="K394" s="156">
        <v>0</v>
      </c>
      <c r="L394" s="1385">
        <f>I394+J394+K394</f>
        <v>232317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317661</v>
      </c>
      <c r="F413" s="499">
        <f t="shared" si="93"/>
        <v>0</v>
      </c>
      <c r="G413" s="500">
        <f t="shared" si="93"/>
        <v>317661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317661</v>
      </c>
      <c r="K413" s="519">
        <f>SUM(K355,K369,K377,K382,K385,K390,K393,K396,K399,K400,K403,K406)</f>
        <v>0</v>
      </c>
      <c r="L413" s="516">
        <f t="shared" si="93"/>
        <v>317661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ДМП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Кнежа</v>
      </c>
      <c r="C432" s="1718"/>
      <c r="D432" s="1719"/>
      <c r="E432" s="413" t="s">
        <v>956</v>
      </c>
      <c r="F432" s="235" t="str">
        <f>$F$12</f>
        <v>6511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97</v>
      </c>
      <c r="F434" s="126" t="str">
        <f>+$F$15</f>
        <v>СЕС - ДМП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-216494</v>
      </c>
      <c r="F439" s="550">
        <f t="shared" si="96"/>
        <v>0</v>
      </c>
      <c r="G439" s="551">
        <f t="shared" si="96"/>
        <v>-216494</v>
      </c>
      <c r="H439" s="552">
        <f>+H168-H299+H413+H423</f>
        <v>0</v>
      </c>
      <c r="I439" s="550">
        <f t="shared" si="96"/>
        <v>0</v>
      </c>
      <c r="J439" s="551">
        <f t="shared" si="96"/>
        <v>-216494</v>
      </c>
      <c r="K439" s="552">
        <f t="shared" si="96"/>
        <v>0</v>
      </c>
      <c r="L439" s="553">
        <f t="shared" si="96"/>
        <v>-216494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216494</v>
      </c>
      <c r="F440" s="557">
        <f t="shared" si="97"/>
        <v>0</v>
      </c>
      <c r="G440" s="558">
        <f t="shared" si="97"/>
        <v>216494</v>
      </c>
      <c r="H440" s="559">
        <f t="shared" si="97"/>
        <v>0</v>
      </c>
      <c r="I440" s="557">
        <f t="shared" si="97"/>
        <v>0</v>
      </c>
      <c r="J440" s="558">
        <f t="shared" si="97"/>
        <v>216494</v>
      </c>
      <c r="K440" s="559">
        <f t="shared" si="97"/>
        <v>0</v>
      </c>
      <c r="L440" s="560">
        <f>+L591</f>
        <v>216494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ДМП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Кнежа</v>
      </c>
      <c r="C448" s="1718"/>
      <c r="D448" s="1719"/>
      <c r="E448" s="413" t="s">
        <v>956</v>
      </c>
      <c r="F448" s="235" t="str">
        <f>$F$12</f>
        <v>6511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97</v>
      </c>
      <c r="F450" s="126" t="str">
        <f>+$F$15</f>
        <v>СЕС - ДМП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216494</v>
      </c>
      <c r="F518" s="591">
        <f t="shared" si="116"/>
        <v>0</v>
      </c>
      <c r="G518" s="584">
        <f t="shared" si="116"/>
        <v>216494</v>
      </c>
      <c r="H518" s="585">
        <f>SUM(H519:H524)</f>
        <v>0</v>
      </c>
      <c r="I518" s="591">
        <f t="shared" si="116"/>
        <v>0</v>
      </c>
      <c r="J518" s="584">
        <f t="shared" si="116"/>
        <v>216494</v>
      </c>
      <c r="K518" s="585">
        <f t="shared" si="116"/>
        <v>0</v>
      </c>
      <c r="L518" s="582">
        <f t="shared" si="116"/>
        <v>216494</v>
      </c>
      <c r="M518" s="7">
        <f t="shared" si="99"/>
        <v>1</v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216494</v>
      </c>
      <c r="F521" s="160"/>
      <c r="G521" s="161">
        <v>216494</v>
      </c>
      <c r="H521" s="589">
        <v>0</v>
      </c>
      <c r="I521" s="160"/>
      <c r="J521" s="161">
        <v>216494</v>
      </c>
      <c r="K521" s="589">
        <v>0</v>
      </c>
      <c r="L521" s="1393">
        <f t="shared" si="112"/>
        <v>216494</v>
      </c>
      <c r="M521" s="7">
        <f t="shared" si="118"/>
        <v>1</v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216494</v>
      </c>
      <c r="F591" s="667">
        <f t="shared" si="129"/>
        <v>0</v>
      </c>
      <c r="G591" s="668">
        <f t="shared" si="129"/>
        <v>216494</v>
      </c>
      <c r="H591" s="669">
        <f t="shared" si="129"/>
        <v>0</v>
      </c>
      <c r="I591" s="667">
        <f t="shared" si="129"/>
        <v>0</v>
      </c>
      <c r="J591" s="668">
        <f t="shared" si="129"/>
        <v>216494</v>
      </c>
      <c r="K591" s="670">
        <f t="shared" si="129"/>
        <v>0</v>
      </c>
      <c r="L591" s="666">
        <f t="shared" si="129"/>
        <v>216494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 t="s">
        <v>2085</v>
      </c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68" t="s">
        <v>2086</v>
      </c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>
        <v>9132</v>
      </c>
      <c r="F599" s="681">
        <v>7839</v>
      </c>
      <c r="G599" s="682" t="s">
        <v>949</v>
      </c>
      <c r="H599" s="1779" t="s">
        <v>2087</v>
      </c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 t="s">
        <v>2088</v>
      </c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ДМП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Кнежа</v>
      </c>
      <c r="C611" s="1790"/>
      <c r="D611" s="1791"/>
      <c r="E611" s="413" t="s">
        <v>956</v>
      </c>
      <c r="F611" s="1365" t="str">
        <f>$F$12</f>
        <v>6511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97</v>
      </c>
      <c r="F613" s="417" t="str">
        <f>$F$15</f>
        <v>СЕС - ДМП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4412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4412</v>
      </c>
      <c r="D620" s="1462" t="s">
        <v>3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6018</v>
      </c>
      <c r="F625" s="277">
        <f t="shared" si="132"/>
        <v>0</v>
      </c>
      <c r="G625" s="278">
        <f t="shared" si="132"/>
        <v>6018</v>
      </c>
      <c r="H625" s="279">
        <f>SUM(H626:H630)</f>
        <v>0</v>
      </c>
      <c r="I625" s="277">
        <f t="shared" si="132"/>
        <v>0</v>
      </c>
      <c r="J625" s="278">
        <f t="shared" si="132"/>
        <v>6018</v>
      </c>
      <c r="K625" s="279">
        <f t="shared" si="132"/>
        <v>0</v>
      </c>
      <c r="L625" s="276">
        <f t="shared" si="132"/>
        <v>6018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6018</v>
      </c>
      <c r="F627" s="160"/>
      <c r="G627" s="161">
        <v>6018</v>
      </c>
      <c r="H627" s="1430"/>
      <c r="I627" s="160"/>
      <c r="J627" s="161">
        <v>6018</v>
      </c>
      <c r="K627" s="1430"/>
      <c r="L627" s="298">
        <f>I627+J627+K627</f>
        <v>6018</v>
      </c>
      <c r="M627" s="12">
        <f t="shared" si="131"/>
        <v>1</v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382</v>
      </c>
      <c r="F631" s="277">
        <f t="shared" si="133"/>
        <v>0</v>
      </c>
      <c r="G631" s="278">
        <f t="shared" si="133"/>
        <v>382</v>
      </c>
      <c r="H631" s="279">
        <f>SUM(H632:H638)</f>
        <v>0</v>
      </c>
      <c r="I631" s="277">
        <f t="shared" si="133"/>
        <v>0</v>
      </c>
      <c r="J631" s="278">
        <f t="shared" si="133"/>
        <v>382</v>
      </c>
      <c r="K631" s="279">
        <f t="shared" si="133"/>
        <v>0</v>
      </c>
      <c r="L631" s="276">
        <f t="shared" si="133"/>
        <v>382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184</v>
      </c>
      <c r="F632" s="154"/>
      <c r="G632" s="155">
        <v>184</v>
      </c>
      <c r="H632" s="1425"/>
      <c r="I632" s="154"/>
      <c r="J632" s="155">
        <v>184</v>
      </c>
      <c r="K632" s="1425"/>
      <c r="L632" s="284">
        <f aca="true" t="shared" si="135" ref="L632:L639">I632+J632+K632</f>
        <v>184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125</v>
      </c>
      <c r="F635" s="160"/>
      <c r="G635" s="161">
        <v>125</v>
      </c>
      <c r="H635" s="1430"/>
      <c r="I635" s="160"/>
      <c r="J635" s="161">
        <v>125</v>
      </c>
      <c r="K635" s="1430"/>
      <c r="L635" s="298">
        <f t="shared" si="135"/>
        <v>125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73</v>
      </c>
      <c r="F636" s="160"/>
      <c r="G636" s="161">
        <v>73</v>
      </c>
      <c r="H636" s="1430"/>
      <c r="I636" s="160"/>
      <c r="J636" s="161">
        <v>73</v>
      </c>
      <c r="K636" s="1430"/>
      <c r="L636" s="298">
        <f t="shared" si="135"/>
        <v>73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15693</v>
      </c>
      <c r="F640" s="277">
        <f t="shared" si="136"/>
        <v>0</v>
      </c>
      <c r="G640" s="278">
        <f t="shared" si="136"/>
        <v>15693</v>
      </c>
      <c r="H640" s="279">
        <f>SUM(H641:H657)</f>
        <v>0</v>
      </c>
      <c r="I640" s="277">
        <f t="shared" si="136"/>
        <v>0</v>
      </c>
      <c r="J640" s="278">
        <f t="shared" si="136"/>
        <v>15693</v>
      </c>
      <c r="K640" s="279">
        <f t="shared" si="136"/>
        <v>0</v>
      </c>
      <c r="L640" s="313">
        <f t="shared" si="136"/>
        <v>15693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4668</v>
      </c>
      <c r="F647" s="457"/>
      <c r="G647" s="458">
        <v>4668</v>
      </c>
      <c r="H647" s="1438"/>
      <c r="I647" s="457"/>
      <c r="J647" s="458">
        <v>4668</v>
      </c>
      <c r="K647" s="1438"/>
      <c r="L647" s="323">
        <f t="shared" si="138"/>
        <v>4668</v>
      </c>
      <c r="M647" s="12">
        <f t="shared" si="131"/>
        <v>1</v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11025</v>
      </c>
      <c r="F650" s="160"/>
      <c r="G650" s="161">
        <v>11025</v>
      </c>
      <c r="H650" s="1430"/>
      <c r="I650" s="160"/>
      <c r="J650" s="161">
        <v>11025</v>
      </c>
      <c r="K650" s="1430"/>
      <c r="L650" s="298">
        <f t="shared" si="138"/>
        <v>11025</v>
      </c>
      <c r="M650" s="12">
        <f t="shared" si="131"/>
        <v>1</v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512062</v>
      </c>
      <c r="F709" s="1432"/>
      <c r="G709" s="1433">
        <v>512062</v>
      </c>
      <c r="H709" s="1434"/>
      <c r="I709" s="1432"/>
      <c r="J709" s="1433">
        <v>512062</v>
      </c>
      <c r="K709" s="1434"/>
      <c r="L709" s="313">
        <f>I709+J709+K709</f>
        <v>512062</v>
      </c>
      <c r="M709" s="12">
        <f t="shared" si="150"/>
        <v>1</v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534155</v>
      </c>
      <c r="F736" s="399">
        <f t="shared" si="164"/>
        <v>0</v>
      </c>
      <c r="G736" s="400">
        <f t="shared" si="164"/>
        <v>534155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0</v>
      </c>
      <c r="J736" s="400">
        <f t="shared" si="164"/>
        <v>534155</v>
      </c>
      <c r="K736" s="401">
        <f t="shared" si="164"/>
        <v>0</v>
      </c>
      <c r="L736" s="398">
        <f t="shared" si="164"/>
        <v>534155</v>
      </c>
      <c r="M736" s="12">
        <f>(IF($E736&lt;&gt;0,$M$2,IF($L736&lt;&gt;0,$M$2,"")))</f>
        <v>1</v>
      </c>
      <c r="N736" s="73" t="str">
        <f>LEFT(C619,1)</f>
        <v>4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36" operator="notEqual" stopIfTrue="1">
      <formula>0</formula>
    </cfRule>
  </conditionalFormatting>
  <conditionalFormatting sqref="D592">
    <cfRule type="cellIs" priority="101" dxfId="136" operator="notEqual" stopIfTrue="1">
      <formula>0</formula>
    </cfRule>
  </conditionalFormatting>
  <conditionalFormatting sqref="E15">
    <cfRule type="cellIs" priority="95" dxfId="142" operator="equal" stopIfTrue="1">
      <formula>98</formula>
    </cfRule>
    <cfRule type="cellIs" priority="97" dxfId="143" operator="equal" stopIfTrue="1">
      <formula>96</formula>
    </cfRule>
    <cfRule type="cellIs" priority="98" dxfId="144" operator="equal" stopIfTrue="1">
      <formula>42</formula>
    </cfRule>
    <cfRule type="cellIs" priority="99" dxfId="145" operator="equal" stopIfTrue="1">
      <formula>97</formula>
    </cfRule>
    <cfRule type="cellIs" priority="100" dxfId="146" operator="equal" stopIfTrue="1">
      <formula>33</formula>
    </cfRule>
  </conditionalFormatting>
  <conditionalFormatting sqref="F15">
    <cfRule type="cellIs" priority="91" dxfId="146" operator="equal" stopIfTrue="1">
      <formula>"ЧУЖДИ СРЕДСТВА"</formula>
    </cfRule>
    <cfRule type="cellIs" priority="92" dxfId="145" operator="equal" stopIfTrue="1">
      <formula>"СЕС - ДМП"</formula>
    </cfRule>
    <cfRule type="cellIs" priority="93" dxfId="144" operator="equal" stopIfTrue="1">
      <formula>"СЕС - РА"</formula>
    </cfRule>
    <cfRule type="cellIs" priority="94" dxfId="143" operator="equal" stopIfTrue="1">
      <formula>"СЕС - ДЕС"</formula>
    </cfRule>
    <cfRule type="cellIs" priority="96" dxfId="142" operator="equal" stopIfTrue="1">
      <formula>"СЕС - КСФ"</formula>
    </cfRule>
  </conditionalFormatting>
  <conditionalFormatting sqref="F178">
    <cfRule type="cellIs" priority="79" dxfId="152" operator="equal" stopIfTrue="1">
      <formula>0</formula>
    </cfRule>
  </conditionalFormatting>
  <conditionalFormatting sqref="E180">
    <cfRule type="cellIs" priority="74" dxfId="142" operator="equal" stopIfTrue="1">
      <formula>98</formula>
    </cfRule>
    <cfRule type="cellIs" priority="75" dxfId="143" operator="equal" stopIfTrue="1">
      <formula>96</formula>
    </cfRule>
    <cfRule type="cellIs" priority="76" dxfId="144" operator="equal" stopIfTrue="1">
      <formula>42</formula>
    </cfRule>
    <cfRule type="cellIs" priority="77" dxfId="145" operator="equal" stopIfTrue="1">
      <formula>97</formula>
    </cfRule>
    <cfRule type="cellIs" priority="78" dxfId="146" operator="equal" stopIfTrue="1">
      <formula>33</formula>
    </cfRule>
  </conditionalFormatting>
  <conditionalFormatting sqref="F180">
    <cfRule type="cellIs" priority="69" dxfId="146" operator="equal" stopIfTrue="1">
      <formula>"ЧУЖДИ СРЕДСТВА"</formula>
    </cfRule>
    <cfRule type="cellIs" priority="70" dxfId="145" operator="equal" stopIfTrue="1">
      <formula>"СЕС - ДМП"</formula>
    </cfRule>
    <cfRule type="cellIs" priority="71" dxfId="144" operator="equal" stopIfTrue="1">
      <formula>"СЕС - РА"</formula>
    </cfRule>
    <cfRule type="cellIs" priority="72" dxfId="143" operator="equal" stopIfTrue="1">
      <formula>"СЕС - ДЕС"</formula>
    </cfRule>
    <cfRule type="cellIs" priority="73" dxfId="142" operator="equal" stopIfTrue="1">
      <formula>"СЕС - КСФ"</formula>
    </cfRule>
  </conditionalFormatting>
  <conditionalFormatting sqref="F347">
    <cfRule type="cellIs" priority="68" dxfId="152" operator="equal" stopIfTrue="1">
      <formula>0</formula>
    </cfRule>
  </conditionalFormatting>
  <conditionalFormatting sqref="E349">
    <cfRule type="cellIs" priority="63" dxfId="142" operator="equal" stopIfTrue="1">
      <formula>98</formula>
    </cfRule>
    <cfRule type="cellIs" priority="64" dxfId="143" operator="equal" stopIfTrue="1">
      <formula>96</formula>
    </cfRule>
    <cfRule type="cellIs" priority="65" dxfId="144" operator="equal" stopIfTrue="1">
      <formula>42</formula>
    </cfRule>
    <cfRule type="cellIs" priority="66" dxfId="145" operator="equal" stopIfTrue="1">
      <formula>97</formula>
    </cfRule>
    <cfRule type="cellIs" priority="67" dxfId="146" operator="equal" stopIfTrue="1">
      <formula>33</formula>
    </cfRule>
  </conditionalFormatting>
  <conditionalFormatting sqref="F349">
    <cfRule type="cellIs" priority="58" dxfId="146" operator="equal" stopIfTrue="1">
      <formula>"ЧУЖДИ СРЕДСТВА"</formula>
    </cfRule>
    <cfRule type="cellIs" priority="59" dxfId="145" operator="equal" stopIfTrue="1">
      <formula>"СЕС - ДМП"</formula>
    </cfRule>
    <cfRule type="cellIs" priority="60" dxfId="144" operator="equal" stopIfTrue="1">
      <formula>"СЕС - РА"</formula>
    </cfRule>
    <cfRule type="cellIs" priority="61" dxfId="143" operator="equal" stopIfTrue="1">
      <formula>"СЕС - ДЕС"</formula>
    </cfRule>
    <cfRule type="cellIs" priority="62" dxfId="142" operator="equal" stopIfTrue="1">
      <formula>"СЕС - КСФ"</formula>
    </cfRule>
  </conditionalFormatting>
  <conditionalFormatting sqref="F432">
    <cfRule type="cellIs" priority="57" dxfId="152" operator="equal" stopIfTrue="1">
      <formula>0</formula>
    </cfRule>
  </conditionalFormatting>
  <conditionalFormatting sqref="E434">
    <cfRule type="cellIs" priority="52" dxfId="142" operator="equal" stopIfTrue="1">
      <formula>98</formula>
    </cfRule>
    <cfRule type="cellIs" priority="53" dxfId="143" operator="equal" stopIfTrue="1">
      <formula>96</formula>
    </cfRule>
    <cfRule type="cellIs" priority="54" dxfId="144" operator="equal" stopIfTrue="1">
      <formula>42</formula>
    </cfRule>
    <cfRule type="cellIs" priority="55" dxfId="145" operator="equal" stopIfTrue="1">
      <formula>97</formula>
    </cfRule>
    <cfRule type="cellIs" priority="56" dxfId="146" operator="equal" stopIfTrue="1">
      <formula>33</formula>
    </cfRule>
  </conditionalFormatting>
  <conditionalFormatting sqref="F434">
    <cfRule type="cellIs" priority="47" dxfId="146" operator="equal" stopIfTrue="1">
      <formula>"ЧУЖДИ СРЕДСТВА"</formula>
    </cfRule>
    <cfRule type="cellIs" priority="48" dxfId="145" operator="equal" stopIfTrue="1">
      <formula>"СЕС - ДМП"</formula>
    </cfRule>
    <cfRule type="cellIs" priority="49" dxfId="144" operator="equal" stopIfTrue="1">
      <formula>"СЕС - РА"</formula>
    </cfRule>
    <cfRule type="cellIs" priority="50" dxfId="143" operator="equal" stopIfTrue="1">
      <formula>"СЕС - ДЕС"</formula>
    </cfRule>
    <cfRule type="cellIs" priority="51" dxfId="142" operator="equal" stopIfTrue="1">
      <formula>"СЕС - КСФ"</formula>
    </cfRule>
  </conditionalFormatting>
  <conditionalFormatting sqref="E441">
    <cfRule type="cellIs" priority="46" dxfId="153" operator="notEqual" stopIfTrue="1">
      <formula>0</formula>
    </cfRule>
  </conditionalFormatting>
  <conditionalFormatting sqref="F441">
    <cfRule type="cellIs" priority="45" dxfId="153" operator="notEqual" stopIfTrue="1">
      <formula>0</formula>
    </cfRule>
  </conditionalFormatting>
  <conditionalFormatting sqref="G441">
    <cfRule type="cellIs" priority="44" dxfId="153" operator="notEqual" stopIfTrue="1">
      <formula>0</formula>
    </cfRule>
  </conditionalFormatting>
  <conditionalFormatting sqref="H441">
    <cfRule type="cellIs" priority="43" dxfId="153" operator="notEqual" stopIfTrue="1">
      <formula>0</formula>
    </cfRule>
  </conditionalFormatting>
  <conditionalFormatting sqref="I441">
    <cfRule type="cellIs" priority="42" dxfId="153" operator="notEqual" stopIfTrue="1">
      <formula>0</formula>
    </cfRule>
  </conditionalFormatting>
  <conditionalFormatting sqref="J441">
    <cfRule type="cellIs" priority="41" dxfId="153" operator="notEqual" stopIfTrue="1">
      <formula>0</formula>
    </cfRule>
  </conditionalFormatting>
  <conditionalFormatting sqref="K441">
    <cfRule type="cellIs" priority="40" dxfId="153" operator="notEqual" stopIfTrue="1">
      <formula>0</formula>
    </cfRule>
  </conditionalFormatting>
  <conditionalFormatting sqref="L441">
    <cfRule type="cellIs" priority="39" dxfId="153" operator="notEqual" stopIfTrue="1">
      <formula>0</formula>
    </cfRule>
  </conditionalFormatting>
  <conditionalFormatting sqref="E592">
    <cfRule type="cellIs" priority="38" dxfId="153" operator="notEqual" stopIfTrue="1">
      <formula>0</formula>
    </cfRule>
  </conditionalFormatting>
  <conditionalFormatting sqref="F592:G592">
    <cfRule type="cellIs" priority="37" dxfId="153" operator="notEqual" stopIfTrue="1">
      <formula>0</formula>
    </cfRule>
  </conditionalFormatting>
  <conditionalFormatting sqref="H592">
    <cfRule type="cellIs" priority="36" dxfId="153" operator="notEqual" stopIfTrue="1">
      <formula>0</formula>
    </cfRule>
  </conditionalFormatting>
  <conditionalFormatting sqref="I592">
    <cfRule type="cellIs" priority="35" dxfId="153" operator="notEqual" stopIfTrue="1">
      <formula>0</formula>
    </cfRule>
  </conditionalFormatting>
  <conditionalFormatting sqref="J592:K592">
    <cfRule type="cellIs" priority="34" dxfId="153" operator="notEqual" stopIfTrue="1">
      <formula>0</formula>
    </cfRule>
  </conditionalFormatting>
  <conditionalFormatting sqref="L592">
    <cfRule type="cellIs" priority="33" dxfId="153" operator="notEqual" stopIfTrue="1">
      <formula>0</formula>
    </cfRule>
  </conditionalFormatting>
  <conditionalFormatting sqref="F571">
    <cfRule type="cellIs" priority="32" dxfId="154" operator="equal" stopIfTrue="1">
      <formula>0</formula>
    </cfRule>
  </conditionalFormatting>
  <conditionalFormatting sqref="F448">
    <cfRule type="cellIs" priority="31" dxfId="152" operator="equal" stopIfTrue="1">
      <formula>0</formula>
    </cfRule>
  </conditionalFormatting>
  <conditionalFormatting sqref="E450">
    <cfRule type="cellIs" priority="26" dxfId="142" operator="equal" stopIfTrue="1">
      <formula>98</formula>
    </cfRule>
    <cfRule type="cellIs" priority="27" dxfId="143" operator="equal" stopIfTrue="1">
      <formula>96</formula>
    </cfRule>
    <cfRule type="cellIs" priority="28" dxfId="144" operator="equal" stopIfTrue="1">
      <formula>42</formula>
    </cfRule>
    <cfRule type="cellIs" priority="29" dxfId="145" operator="equal" stopIfTrue="1">
      <formula>97</formula>
    </cfRule>
    <cfRule type="cellIs" priority="30" dxfId="146" operator="equal" stopIfTrue="1">
      <formula>33</formula>
    </cfRule>
  </conditionalFormatting>
  <conditionalFormatting sqref="F450">
    <cfRule type="cellIs" priority="21" dxfId="146" operator="equal" stopIfTrue="1">
      <formula>"ЧУЖДИ СРЕДСТВА"</formula>
    </cfRule>
    <cfRule type="cellIs" priority="22" dxfId="145" operator="equal" stopIfTrue="1">
      <formula>"СЕС - ДМП"</formula>
    </cfRule>
    <cfRule type="cellIs" priority="23" dxfId="144" operator="equal" stopIfTrue="1">
      <formula>"СЕС - РА"</formula>
    </cfRule>
    <cfRule type="cellIs" priority="24" dxfId="143" operator="equal" stopIfTrue="1">
      <formula>"СЕС - ДЕС"</formula>
    </cfRule>
    <cfRule type="cellIs" priority="25" dxfId="142" operator="equal" stopIfTrue="1">
      <formula>"СЕС - КСФ"</formula>
    </cfRule>
  </conditionalFormatting>
  <conditionalFormatting sqref="I571">
    <cfRule type="cellIs" priority="20" dxfId="154" operator="equal" stopIfTrue="1">
      <formula>0</formula>
    </cfRule>
  </conditionalFormatting>
  <conditionalFormatting sqref="I9:J9">
    <cfRule type="cellIs" priority="16" dxfId="147" operator="between" stopIfTrue="1">
      <formula>1000000000000</formula>
      <formula>9999999999999990</formula>
    </cfRule>
    <cfRule type="cellIs" priority="17" dxfId="148" operator="between" stopIfTrue="1">
      <formula>10000000000</formula>
      <formula>999999999999</formula>
    </cfRule>
    <cfRule type="cellIs" priority="18" dxfId="149" operator="between" stopIfTrue="1">
      <formula>1000000</formula>
      <formula>99999999</formula>
    </cfRule>
    <cfRule type="cellIs" priority="19" dxfId="155" operator="between" stopIfTrue="1">
      <formula>100</formula>
      <formula>9900</formula>
    </cfRule>
  </conditionalFormatting>
  <conditionalFormatting sqref="F611">
    <cfRule type="cellIs" priority="15" dxfId="152" operator="equal" stopIfTrue="1">
      <formula>0</formula>
    </cfRule>
  </conditionalFormatting>
  <conditionalFormatting sqref="E61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56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fitToHeight="24" fitToWidth="1" horizontalDpi="600" verticalDpi="600" orientation="portrait" paperSize="9" scale="37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5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W7</cp:lastModifiedBy>
  <cp:lastPrinted>2017-02-17T12:26:09Z</cp:lastPrinted>
  <dcterms:created xsi:type="dcterms:W3CDTF">1997-12-10T11:54:07Z</dcterms:created>
  <dcterms:modified xsi:type="dcterms:W3CDTF">2017-02-17T12:35:53Z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