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60" windowWidth="9990" windowHeight="5940" tabRatio="294"/>
  </bookViews>
  <sheets>
    <sheet name="Sheet1" sheetId="1" r:id="rId1"/>
  </sheets>
  <definedNames>
    <definedName name="_xlnm.Print_Area" localSheetId="0">Sheet1!$B$1:$N$212</definedName>
  </definedNames>
  <calcPr calcId="124519"/>
</workbook>
</file>

<file path=xl/calcChain.xml><?xml version="1.0" encoding="utf-8"?>
<calcChain xmlns="http://schemas.openxmlformats.org/spreadsheetml/2006/main">
  <c r="J181" i="1"/>
  <c r="L137"/>
  <c r="M137"/>
  <c r="N137"/>
  <c r="K137"/>
  <c r="E137"/>
  <c r="F137"/>
  <c r="G137"/>
  <c r="H137"/>
  <c r="I137"/>
  <c r="D137"/>
  <c r="M190" l="1"/>
  <c r="L190"/>
  <c r="N194"/>
  <c r="I194"/>
  <c r="N200"/>
  <c r="M198"/>
  <c r="L198"/>
  <c r="N56"/>
  <c r="N40"/>
  <c r="L36"/>
  <c r="M36"/>
  <c r="K36"/>
  <c r="N61" l="1"/>
  <c r="L144"/>
  <c r="M114"/>
  <c r="L132"/>
  <c r="L134"/>
  <c r="H110" l="1"/>
  <c r="I115"/>
  <c r="E57"/>
  <c r="F57"/>
  <c r="G57"/>
  <c r="H57"/>
  <c r="D57"/>
  <c r="I64"/>
  <c r="J64" s="1"/>
  <c r="E53"/>
  <c r="E52"/>
  <c r="E51"/>
  <c r="E50"/>
  <c r="F39"/>
  <c r="F53"/>
  <c r="F52"/>
  <c r="F51"/>
  <c r="F50"/>
  <c r="F37"/>
  <c r="F38"/>
  <c r="G30"/>
  <c r="H30"/>
  <c r="F30"/>
  <c r="L189"/>
  <c r="L183"/>
  <c r="L148"/>
  <c r="M109"/>
  <c r="N109" s="1"/>
  <c r="L101"/>
  <c r="L100"/>
  <c r="M75"/>
  <c r="M15"/>
  <c r="M14"/>
  <c r="M13"/>
  <c r="K15"/>
  <c r="K13"/>
  <c r="N43"/>
  <c r="N79"/>
  <c r="L188"/>
  <c r="N94"/>
  <c r="N95"/>
  <c r="N93"/>
  <c r="N92"/>
  <c r="N156"/>
  <c r="N155"/>
  <c r="N146"/>
  <c r="M149"/>
  <c r="L149"/>
  <c r="N117"/>
  <c r="N108"/>
  <c r="N107"/>
  <c r="M106"/>
  <c r="I109"/>
  <c r="I120"/>
  <c r="E119"/>
  <c r="F119"/>
  <c r="G119"/>
  <c r="H119"/>
  <c r="D119"/>
  <c r="E140"/>
  <c r="F140"/>
  <c r="G140"/>
  <c r="H140"/>
  <c r="D140"/>
  <c r="I146"/>
  <c r="J146" s="1"/>
  <c r="I122"/>
  <c r="E84"/>
  <c r="F84"/>
  <c r="G84"/>
  <c r="H84"/>
  <c r="D84"/>
  <c r="I88"/>
  <c r="J88" s="1"/>
  <c r="L128"/>
  <c r="N205"/>
  <c r="N46"/>
  <c r="N82"/>
  <c r="N90"/>
  <c r="N157"/>
  <c r="N203"/>
  <c r="N202"/>
  <c r="N199"/>
  <c r="N198" s="1"/>
  <c r="N208"/>
  <c r="N209"/>
  <c r="N207"/>
  <c r="N106" l="1"/>
  <c r="N192"/>
  <c r="N193"/>
  <c r="N191"/>
  <c r="N166"/>
  <c r="N167"/>
  <c r="N168"/>
  <c r="N169"/>
  <c r="N165"/>
  <c r="L163"/>
  <c r="N148"/>
  <c r="N139"/>
  <c r="N138"/>
  <c r="N105"/>
  <c r="N104"/>
  <c r="N25"/>
  <c r="N26"/>
  <c r="N27"/>
  <c r="N28"/>
  <c r="N29"/>
  <c r="N24"/>
  <c r="N190" l="1"/>
  <c r="N187"/>
  <c r="N188"/>
  <c r="N189"/>
  <c r="N186"/>
  <c r="N181"/>
  <c r="N182"/>
  <c r="N183"/>
  <c r="N184"/>
  <c r="N180"/>
  <c r="N161"/>
  <c r="N162"/>
  <c r="N163"/>
  <c r="N160"/>
  <c r="N172"/>
  <c r="N173"/>
  <c r="N174"/>
  <c r="N175"/>
  <c r="N176"/>
  <c r="N177"/>
  <c r="N178"/>
  <c r="N171"/>
  <c r="N126"/>
  <c r="N127"/>
  <c r="N128"/>
  <c r="N129"/>
  <c r="N125"/>
  <c r="N132"/>
  <c r="N133"/>
  <c r="N134"/>
  <c r="N135"/>
  <c r="N136"/>
  <c r="N131"/>
  <c r="N142"/>
  <c r="N143"/>
  <c r="N144"/>
  <c r="N145"/>
  <c r="N141"/>
  <c r="N112"/>
  <c r="N113"/>
  <c r="N114"/>
  <c r="N111"/>
  <c r="N99"/>
  <c r="N100"/>
  <c r="N101"/>
  <c r="N102"/>
  <c r="N98"/>
  <c r="N73"/>
  <c r="N74"/>
  <c r="N75"/>
  <c r="N76"/>
  <c r="N72"/>
  <c r="L30"/>
  <c r="M30"/>
  <c r="N30"/>
  <c r="K30"/>
  <c r="L206" l="1"/>
  <c r="M206"/>
  <c r="N206"/>
  <c r="K206"/>
  <c r="L204"/>
  <c r="M204"/>
  <c r="N204"/>
  <c r="K204"/>
  <c r="L201"/>
  <c r="M201"/>
  <c r="N201"/>
  <c r="K201"/>
  <c r="K198"/>
  <c r="L196"/>
  <c r="M196"/>
  <c r="N196"/>
  <c r="K196"/>
  <c r="K195" s="1"/>
  <c r="K190"/>
  <c r="L185"/>
  <c r="M185"/>
  <c r="N185"/>
  <c r="K185"/>
  <c r="L179"/>
  <c r="M179"/>
  <c r="N179"/>
  <c r="K179"/>
  <c r="L170"/>
  <c r="M170"/>
  <c r="N170"/>
  <c r="K170"/>
  <c r="L164"/>
  <c r="M164"/>
  <c r="N164"/>
  <c r="K164"/>
  <c r="L159"/>
  <c r="M159"/>
  <c r="N159"/>
  <c r="K159"/>
  <c r="L154"/>
  <c r="M154"/>
  <c r="N154"/>
  <c r="K154"/>
  <c r="L152"/>
  <c r="M152"/>
  <c r="M151" s="1"/>
  <c r="N152"/>
  <c r="N151" s="1"/>
  <c r="K152"/>
  <c r="K151" s="1"/>
  <c r="N149" s="1"/>
  <c r="L147"/>
  <c r="M147"/>
  <c r="N147"/>
  <c r="K147"/>
  <c r="L140"/>
  <c r="M140"/>
  <c r="N140"/>
  <c r="K140"/>
  <c r="L130"/>
  <c r="M130"/>
  <c r="N130"/>
  <c r="K130"/>
  <c r="L124"/>
  <c r="M124"/>
  <c r="N124"/>
  <c r="K124"/>
  <c r="L119"/>
  <c r="M119"/>
  <c r="N119"/>
  <c r="K119"/>
  <c r="L116"/>
  <c r="M116"/>
  <c r="N116"/>
  <c r="K116"/>
  <c r="L110"/>
  <c r="M110"/>
  <c r="N110"/>
  <c r="K110"/>
  <c r="L106"/>
  <c r="K106"/>
  <c r="L103"/>
  <c r="M103"/>
  <c r="N103"/>
  <c r="K103"/>
  <c r="L97"/>
  <c r="M97"/>
  <c r="N97"/>
  <c r="K97"/>
  <c r="K96" s="1"/>
  <c r="L91"/>
  <c r="M91"/>
  <c r="N91"/>
  <c r="K91"/>
  <c r="L89"/>
  <c r="M89"/>
  <c r="N89"/>
  <c r="K89"/>
  <c r="L84"/>
  <c r="M84"/>
  <c r="N84"/>
  <c r="K84"/>
  <c r="L78"/>
  <c r="L77" s="1"/>
  <c r="M78"/>
  <c r="M77" s="1"/>
  <c r="N78"/>
  <c r="N77" s="1"/>
  <c r="K78"/>
  <c r="L71"/>
  <c r="M71"/>
  <c r="N71"/>
  <c r="K71"/>
  <c r="L66"/>
  <c r="M66"/>
  <c r="N66"/>
  <c r="K66"/>
  <c r="K57" s="1"/>
  <c r="L57"/>
  <c r="M57"/>
  <c r="N57"/>
  <c r="N38"/>
  <c r="N39"/>
  <c r="N14"/>
  <c r="N15"/>
  <c r="N16"/>
  <c r="N17"/>
  <c r="N18"/>
  <c r="N19"/>
  <c r="N20"/>
  <c r="N21"/>
  <c r="N22"/>
  <c r="N13"/>
  <c r="N37"/>
  <c r="L35"/>
  <c r="M35"/>
  <c r="K35"/>
  <c r="L23"/>
  <c r="M23"/>
  <c r="N23"/>
  <c r="K23"/>
  <c r="L12"/>
  <c r="M12"/>
  <c r="K12"/>
  <c r="I53"/>
  <c r="J53" s="1"/>
  <c r="I39"/>
  <c r="E149"/>
  <c r="F149"/>
  <c r="G149"/>
  <c r="H149"/>
  <c r="D149"/>
  <c r="I150"/>
  <c r="I149" s="1"/>
  <c r="E170"/>
  <c r="F170"/>
  <c r="G170"/>
  <c r="H170"/>
  <c r="D170"/>
  <c r="I175"/>
  <c r="I129"/>
  <c r="J129" s="1"/>
  <c r="I47"/>
  <c r="J47" s="1"/>
  <c r="I48"/>
  <c r="J48" s="1"/>
  <c r="F42"/>
  <c r="G42"/>
  <c r="H42"/>
  <c r="E42"/>
  <c r="D42"/>
  <c r="E23"/>
  <c r="F23"/>
  <c r="G23"/>
  <c r="H23"/>
  <c r="D23"/>
  <c r="I29"/>
  <c r="E30"/>
  <c r="E110"/>
  <c r="I155"/>
  <c r="E154"/>
  <c r="F154"/>
  <c r="G154"/>
  <c r="H154"/>
  <c r="D154"/>
  <c r="I65"/>
  <c r="J65" s="1"/>
  <c r="G12"/>
  <c r="H12"/>
  <c r="F12"/>
  <c r="I20"/>
  <c r="H206"/>
  <c r="I207"/>
  <c r="G206"/>
  <c r="I157"/>
  <c r="J157" s="1"/>
  <c r="I156"/>
  <c r="J156" s="1"/>
  <c r="H204"/>
  <c r="E201"/>
  <c r="F201"/>
  <c r="G201"/>
  <c r="H201"/>
  <c r="D201"/>
  <c r="I199"/>
  <c r="I198" s="1"/>
  <c r="E190"/>
  <c r="F190"/>
  <c r="G190"/>
  <c r="H190"/>
  <c r="D190"/>
  <c r="E179"/>
  <c r="F179"/>
  <c r="G179"/>
  <c r="H179"/>
  <c r="D179"/>
  <c r="E124"/>
  <c r="F124"/>
  <c r="G124"/>
  <c r="H124"/>
  <c r="D124"/>
  <c r="E147"/>
  <c r="F147"/>
  <c r="G147"/>
  <c r="H147"/>
  <c r="D147"/>
  <c r="I128"/>
  <c r="J128" s="1"/>
  <c r="I127"/>
  <c r="J127" s="1"/>
  <c r="I126"/>
  <c r="J126" s="1"/>
  <c r="I125"/>
  <c r="J125" s="1"/>
  <c r="D110"/>
  <c r="E106"/>
  <c r="F106"/>
  <c r="G106"/>
  <c r="H106"/>
  <c r="D106"/>
  <c r="E103"/>
  <c r="F103"/>
  <c r="G103"/>
  <c r="H103"/>
  <c r="E66"/>
  <c r="F66"/>
  <c r="G66"/>
  <c r="H66"/>
  <c r="D66"/>
  <c r="I70"/>
  <c r="J70" s="1"/>
  <c r="I69"/>
  <c r="J69" s="1"/>
  <c r="I68"/>
  <c r="J68" s="1"/>
  <c r="I67"/>
  <c r="J67" s="1"/>
  <c r="I63"/>
  <c r="J63" s="1"/>
  <c r="I62"/>
  <c r="J62" s="1"/>
  <c r="I61"/>
  <c r="J61" s="1"/>
  <c r="I60"/>
  <c r="J60" s="1"/>
  <c r="I59"/>
  <c r="J59" s="1"/>
  <c r="I58"/>
  <c r="D53"/>
  <c r="D52"/>
  <c r="D51"/>
  <c r="D50"/>
  <c r="E37"/>
  <c r="E38"/>
  <c r="E39"/>
  <c r="D39"/>
  <c r="G36"/>
  <c r="H36"/>
  <c r="H35" s="1"/>
  <c r="D38"/>
  <c r="D37"/>
  <c r="E12"/>
  <c r="E11" s="1"/>
  <c r="D12"/>
  <c r="I205"/>
  <c r="J205" s="1"/>
  <c r="G204"/>
  <c r="I169"/>
  <c r="E164"/>
  <c r="F164"/>
  <c r="G164"/>
  <c r="H164"/>
  <c r="D164"/>
  <c r="I148"/>
  <c r="J148" s="1"/>
  <c r="D78"/>
  <c r="I93"/>
  <c r="I94"/>
  <c r="J94" s="1"/>
  <c r="I95"/>
  <c r="J95" s="1"/>
  <c r="I92"/>
  <c r="E91"/>
  <c r="F91"/>
  <c r="G91"/>
  <c r="H91"/>
  <c r="D91"/>
  <c r="I52"/>
  <c r="J52" s="1"/>
  <c r="E198"/>
  <c r="F198"/>
  <c r="G198"/>
  <c r="H198"/>
  <c r="D198"/>
  <c r="I166"/>
  <c r="J166" s="1"/>
  <c r="I167"/>
  <c r="J167" s="1"/>
  <c r="I168"/>
  <c r="I165"/>
  <c r="J165" s="1"/>
  <c r="E185"/>
  <c r="F185"/>
  <c r="G185"/>
  <c r="H185"/>
  <c r="D185"/>
  <c r="I132"/>
  <c r="I133"/>
  <c r="J133" s="1"/>
  <c r="I134"/>
  <c r="J134" s="1"/>
  <c r="I135"/>
  <c r="J135" s="1"/>
  <c r="I136"/>
  <c r="J136" s="1"/>
  <c r="I131"/>
  <c r="J131" s="1"/>
  <c r="I112"/>
  <c r="J112" s="1"/>
  <c r="G110"/>
  <c r="E116"/>
  <c r="F116"/>
  <c r="G116"/>
  <c r="H116"/>
  <c r="D116"/>
  <c r="I113"/>
  <c r="J113" s="1"/>
  <c r="I114"/>
  <c r="J114" s="1"/>
  <c r="I111"/>
  <c r="F110"/>
  <c r="F97"/>
  <c r="G97"/>
  <c r="H97"/>
  <c r="E97"/>
  <c r="G49"/>
  <c r="H49"/>
  <c r="I27"/>
  <c r="I28"/>
  <c r="I33"/>
  <c r="J33" s="1"/>
  <c r="I34"/>
  <c r="J34" s="1"/>
  <c r="I32"/>
  <c r="I158"/>
  <c r="J158" s="1"/>
  <c r="I117"/>
  <c r="F78"/>
  <c r="G78"/>
  <c r="H78"/>
  <c r="E78"/>
  <c r="I209"/>
  <c r="J209" s="1"/>
  <c r="I208"/>
  <c r="J208" s="1"/>
  <c r="I203"/>
  <c r="J203" s="1"/>
  <c r="I202"/>
  <c r="J202" s="1"/>
  <c r="I197"/>
  <c r="I196"/>
  <c r="I192"/>
  <c r="J192" s="1"/>
  <c r="I193"/>
  <c r="I191"/>
  <c r="J191" s="1"/>
  <c r="I187"/>
  <c r="J187" s="1"/>
  <c r="I188"/>
  <c r="J188" s="1"/>
  <c r="I189"/>
  <c r="J189" s="1"/>
  <c r="I186"/>
  <c r="I181"/>
  <c r="I182"/>
  <c r="J182" s="1"/>
  <c r="I183"/>
  <c r="J183" s="1"/>
  <c r="I184"/>
  <c r="J184" s="1"/>
  <c r="I180"/>
  <c r="J180" s="1"/>
  <c r="I161"/>
  <c r="I162"/>
  <c r="J162" s="1"/>
  <c r="I163"/>
  <c r="J163" s="1"/>
  <c r="I160"/>
  <c r="I172"/>
  <c r="J172" s="1"/>
  <c r="I173"/>
  <c r="J173" s="1"/>
  <c r="I174"/>
  <c r="J174" s="1"/>
  <c r="I176"/>
  <c r="I177"/>
  <c r="J177" s="1"/>
  <c r="I178"/>
  <c r="J178" s="1"/>
  <c r="I171"/>
  <c r="I153"/>
  <c r="I152" s="1"/>
  <c r="I142"/>
  <c r="J142" s="1"/>
  <c r="I143"/>
  <c r="J143" s="1"/>
  <c r="I144"/>
  <c r="I145"/>
  <c r="I141"/>
  <c r="J141" s="1"/>
  <c r="I139"/>
  <c r="I138"/>
  <c r="J138" s="1"/>
  <c r="E130"/>
  <c r="F130"/>
  <c r="G130"/>
  <c r="H130"/>
  <c r="D130"/>
  <c r="I121"/>
  <c r="I119" s="1"/>
  <c r="I118"/>
  <c r="I108"/>
  <c r="J108" s="1"/>
  <c r="I107"/>
  <c r="J107" s="1"/>
  <c r="I105"/>
  <c r="J105" s="1"/>
  <c r="I104"/>
  <c r="J104" s="1"/>
  <c r="I99"/>
  <c r="J99" s="1"/>
  <c r="I100"/>
  <c r="J100" s="1"/>
  <c r="I101"/>
  <c r="J101" s="1"/>
  <c r="I102"/>
  <c r="J102" s="1"/>
  <c r="I98"/>
  <c r="J98" s="1"/>
  <c r="D97"/>
  <c r="I90"/>
  <c r="J90" s="1"/>
  <c r="I86"/>
  <c r="J86" s="1"/>
  <c r="I87"/>
  <c r="J87" s="1"/>
  <c r="I85"/>
  <c r="I80"/>
  <c r="J80" s="1"/>
  <c r="I81"/>
  <c r="J81" s="1"/>
  <c r="I82"/>
  <c r="J82" s="1"/>
  <c r="I83"/>
  <c r="J83" s="1"/>
  <c r="I79"/>
  <c r="J79" s="1"/>
  <c r="I73"/>
  <c r="I74"/>
  <c r="J74" s="1"/>
  <c r="I75"/>
  <c r="J75" s="1"/>
  <c r="I76"/>
  <c r="J76" s="1"/>
  <c r="I72"/>
  <c r="J72" s="1"/>
  <c r="I51"/>
  <c r="J51" s="1"/>
  <c r="I54"/>
  <c r="J54" s="1"/>
  <c r="I55"/>
  <c r="J55" s="1"/>
  <c r="I56"/>
  <c r="J56" s="1"/>
  <c r="I50"/>
  <c r="J50" s="1"/>
  <c r="I44"/>
  <c r="J44" s="1"/>
  <c r="I45"/>
  <c r="J45" s="1"/>
  <c r="I46"/>
  <c r="J46" s="1"/>
  <c r="I43"/>
  <c r="J43" s="1"/>
  <c r="I38"/>
  <c r="I25"/>
  <c r="J25" s="1"/>
  <c r="I26"/>
  <c r="J26" s="1"/>
  <c r="I24"/>
  <c r="I14"/>
  <c r="J14" s="1"/>
  <c r="I15"/>
  <c r="J15" s="1"/>
  <c r="I16"/>
  <c r="J16" s="1"/>
  <c r="I17"/>
  <c r="J17" s="1"/>
  <c r="I18"/>
  <c r="J18" s="1"/>
  <c r="I19"/>
  <c r="J19" s="1"/>
  <c r="I21"/>
  <c r="J21" s="1"/>
  <c r="I22"/>
  <c r="J22" s="1"/>
  <c r="I13"/>
  <c r="J13" s="1"/>
  <c r="G159"/>
  <c r="G89"/>
  <c r="G71"/>
  <c r="D103"/>
  <c r="D89"/>
  <c r="D71"/>
  <c r="H71"/>
  <c r="F71"/>
  <c r="E71"/>
  <c r="H196"/>
  <c r="H152"/>
  <c r="H89"/>
  <c r="D152"/>
  <c r="F206"/>
  <c r="E206"/>
  <c r="E196"/>
  <c r="F159"/>
  <c r="E159"/>
  <c r="F152"/>
  <c r="E152"/>
  <c r="F196"/>
  <c r="D159"/>
  <c r="D206"/>
  <c r="F89"/>
  <c r="E89"/>
  <c r="H159"/>
  <c r="I37"/>
  <c r="J153"/>
  <c r="F49"/>
  <c r="E49"/>
  <c r="E41" s="1"/>
  <c r="F36"/>
  <c r="F35" s="1"/>
  <c r="J111" l="1"/>
  <c r="I110"/>
  <c r="J37"/>
  <c r="H41"/>
  <c r="I91"/>
  <c r="J91" s="1"/>
  <c r="D11"/>
  <c r="D195"/>
  <c r="E195"/>
  <c r="N195"/>
  <c r="L195"/>
  <c r="N36"/>
  <c r="N35" s="1"/>
  <c r="J58"/>
  <c r="I57"/>
  <c r="H195"/>
  <c r="G77"/>
  <c r="J38"/>
  <c r="J137"/>
  <c r="I30"/>
  <c r="F96"/>
  <c r="G195"/>
  <c r="E36"/>
  <c r="E35" s="1"/>
  <c r="I204"/>
  <c r="J204" s="1"/>
  <c r="H11"/>
  <c r="D96"/>
  <c r="I116"/>
  <c r="D123"/>
  <c r="E123"/>
  <c r="J32"/>
  <c r="I147"/>
  <c r="J147" s="1"/>
  <c r="D36"/>
  <c r="D35" s="1"/>
  <c r="D49"/>
  <c r="D41" s="1"/>
  <c r="D151"/>
  <c r="E151"/>
  <c r="J152"/>
  <c r="D77"/>
  <c r="F11"/>
  <c r="L96"/>
  <c r="L151"/>
  <c r="K77"/>
  <c r="H96"/>
  <c r="M195"/>
  <c r="I206"/>
  <c r="J206" s="1"/>
  <c r="F123"/>
  <c r="J139"/>
  <c r="J30"/>
  <c r="F195"/>
  <c r="H123"/>
  <c r="I190"/>
  <c r="J190" s="1"/>
  <c r="J85"/>
  <c r="I84"/>
  <c r="I164"/>
  <c r="J164" s="1"/>
  <c r="J39"/>
  <c r="I36"/>
  <c r="I35" s="1"/>
  <c r="J35" s="1"/>
  <c r="I140"/>
  <c r="J140" s="1"/>
  <c r="I71"/>
  <c r="J71" s="1"/>
  <c r="J145"/>
  <c r="I130"/>
  <c r="J130" s="1"/>
  <c r="E96"/>
  <c r="J198"/>
  <c r="N96"/>
  <c r="M96"/>
  <c r="J201"/>
  <c r="I201"/>
  <c r="I195" s="1"/>
  <c r="J195" s="1"/>
  <c r="J199"/>
  <c r="I185"/>
  <c r="J185" s="1"/>
  <c r="J186"/>
  <c r="J193"/>
  <c r="I179"/>
  <c r="J179" s="1"/>
  <c r="I159"/>
  <c r="J159" s="1"/>
  <c r="G151"/>
  <c r="F151"/>
  <c r="I154"/>
  <c r="J154" s="1"/>
  <c r="I170"/>
  <c r="J171"/>
  <c r="I124"/>
  <c r="J124" s="1"/>
  <c r="J132"/>
  <c r="G123"/>
  <c r="J144"/>
  <c r="J121"/>
  <c r="J119" s="1"/>
  <c r="J110"/>
  <c r="I106"/>
  <c r="J106" s="1"/>
  <c r="G96"/>
  <c r="I103"/>
  <c r="J103" s="1"/>
  <c r="I97"/>
  <c r="I89"/>
  <c r="J89" s="1"/>
  <c r="F77"/>
  <c r="E77"/>
  <c r="J84"/>
  <c r="I78"/>
  <c r="I66"/>
  <c r="J66" s="1"/>
  <c r="J57"/>
  <c r="F41"/>
  <c r="I49"/>
  <c r="J49" s="1"/>
  <c r="I42"/>
  <c r="G11"/>
  <c r="I12"/>
  <c r="J12" s="1"/>
  <c r="K11"/>
  <c r="L11"/>
  <c r="N123"/>
  <c r="M123"/>
  <c r="K123"/>
  <c r="L123"/>
  <c r="M11"/>
  <c r="H77"/>
  <c r="G41"/>
  <c r="H151"/>
  <c r="I23"/>
  <c r="J23" s="1"/>
  <c r="J24"/>
  <c r="J160"/>
  <c r="N12"/>
  <c r="K42"/>
  <c r="L42"/>
  <c r="M42"/>
  <c r="E210" l="1"/>
  <c r="D210"/>
  <c r="J36"/>
  <c r="I151"/>
  <c r="J151" s="1"/>
  <c r="J170"/>
  <c r="I123"/>
  <c r="J123" s="1"/>
  <c r="G210"/>
  <c r="I96"/>
  <c r="J96" s="1"/>
  <c r="J97"/>
  <c r="H210"/>
  <c r="F210"/>
  <c r="I77"/>
  <c r="J77" s="1"/>
  <c r="J78"/>
  <c r="I41"/>
  <c r="J41" s="1"/>
  <c r="J42"/>
  <c r="N11"/>
  <c r="I11"/>
  <c r="N42"/>
  <c r="M219" l="1"/>
  <c r="I210"/>
  <c r="J210" s="1"/>
  <c r="J11"/>
  <c r="K49"/>
  <c r="K41" s="1"/>
  <c r="K210" s="1"/>
  <c r="M49"/>
  <c r="M41" s="1"/>
  <c r="M210" s="1"/>
  <c r="L49"/>
  <c r="L41" s="1"/>
  <c r="L210" s="1"/>
  <c r="N49"/>
  <c r="N41" s="1"/>
  <c r="N210" s="1"/>
</calcChain>
</file>

<file path=xl/sharedStrings.xml><?xml version="1.0" encoding="utf-8"?>
<sst xmlns="http://schemas.openxmlformats.org/spreadsheetml/2006/main" count="371" uniqueCount="102">
  <si>
    <t>Функция, група, Вид на дейност разхода по групи</t>
  </si>
  <si>
    <t>Първоначален бюджет</t>
  </si>
  <si>
    <t>ВСИЧКО:</t>
  </si>
  <si>
    <t>резерв</t>
  </si>
  <si>
    <t>ІV.ФУНКЦИЯ ЗДРАВЕОПАЗВАНЕ</t>
  </si>
  <si>
    <t>І. ФУНКЦИЯ ОБЩИ ДЪРЖАВНИ СЛУЖБИ</t>
  </si>
  <si>
    <t>ІІ. ФУНКЦИЯ ОТБРАНА И СИГУРНОСТ</t>
  </si>
  <si>
    <t>ІІІ. ФУНКЦИЯ ОБРАЗОВАНИЕ</t>
  </si>
  <si>
    <t xml:space="preserve">1.1. Общинска администрация </t>
  </si>
  <si>
    <t>заплати и възнаграждения на персонала, нает по трудови и служебни правоотношения</t>
  </si>
  <si>
    <t>параграф</t>
  </si>
  <si>
    <t>§ 01-00</t>
  </si>
  <si>
    <t>§ 05-00</t>
  </si>
  <si>
    <t>задължителни осигурителни вноски от работодатели</t>
  </si>
  <si>
    <t>други възнаграждения и плащания за персонала</t>
  </si>
  <si>
    <t>§ 02-00</t>
  </si>
  <si>
    <t>издръжка</t>
  </si>
  <si>
    <t>§ 10-00</t>
  </si>
  <si>
    <t>обезщетения и помощи по Решение на Общински съвет</t>
  </si>
  <si>
    <t>§ 42-14</t>
  </si>
  <si>
    <t>разходи за членски внос и участие в нетърговски организации и дейности</t>
  </si>
  <si>
    <t>§ 46-00</t>
  </si>
  <si>
    <t>стипендии</t>
  </si>
  <si>
    <t>§ 40-00</t>
  </si>
  <si>
    <t>§ 42-19</t>
  </si>
  <si>
    <t>субсидии на организации с нестонска цел</t>
  </si>
  <si>
    <t>§ 45-00</t>
  </si>
  <si>
    <t>издръжка - културен календар</t>
  </si>
  <si>
    <t>§ 97-00</t>
  </si>
  <si>
    <t>§ 22-00</t>
  </si>
  <si>
    <t>други възнаграждения и  плащания за персонала</t>
  </si>
  <si>
    <t xml:space="preserve">разходи за лихви по заеми от страната </t>
  </si>
  <si>
    <t>§ 43-01</t>
  </si>
  <si>
    <t>субсидии за текуща дейност</t>
  </si>
  <si>
    <t>VІІІ.ФУНКЦИЯ ИКОНОМИЧЕСКИ ДЕЙНОСТИ И УСЛУГИ</t>
  </si>
  <si>
    <t>издръжка  в т. ч. Здравен календар</t>
  </si>
  <si>
    <t>V.ФУНКЦИЯ СОЦИАЛНО ОСИГУРЯВАНЕ, ПОДПОМАГАНЕ  И ГРИЖИ</t>
  </si>
  <si>
    <t>ІX. РАЗХОДИ НЕКЛАСИФИЦИРАНИ В ДРУГИТЕ ФУНКЦИИ</t>
  </si>
  <si>
    <t>държавни
дейности</t>
  </si>
  <si>
    <t>местни
дейности</t>
  </si>
  <si>
    <t>4.2. Здравен кабинет в детски градини и училища</t>
  </si>
  <si>
    <t>4.3. Други дейности по здравеопазването</t>
  </si>
  <si>
    <t>5.1. Домашен социален патронаж</t>
  </si>
  <si>
    <t>5.3. Програми временна заетост</t>
  </si>
  <si>
    <t xml:space="preserve">6.1. Чистота </t>
  </si>
  <si>
    <t>7.1. Спорт за всички</t>
  </si>
  <si>
    <t>7.2. Читалища</t>
  </si>
  <si>
    <t>7.3. Музеи с местен характер</t>
  </si>
  <si>
    <t>7.4. Други дейности по културата</t>
  </si>
  <si>
    <t xml:space="preserve">7.5. Спортни бази за спорт за всички </t>
  </si>
  <si>
    <t xml:space="preserve">7.6. РТВ </t>
  </si>
  <si>
    <t xml:space="preserve">7.7. Зоопаркове </t>
  </si>
  <si>
    <t>8.1. Други дейности по транспорта</t>
  </si>
  <si>
    <t>8.2. Служби и дейности по поддържане, ремонт и изграждане на пътища</t>
  </si>
  <si>
    <t>8.3. Общински пазари и тържища</t>
  </si>
  <si>
    <t xml:space="preserve">6.4. Осветление </t>
  </si>
  <si>
    <t>2.1. Други дейности по отбраната</t>
  </si>
  <si>
    <t xml:space="preserve">издръжка </t>
  </si>
  <si>
    <t>7.8. Обредни домове и зали</t>
  </si>
  <si>
    <t>платени данъци, такси и административни санкции</t>
  </si>
  <si>
    <t>§ 19-00</t>
  </si>
  <si>
    <t>капиталови разходи</t>
  </si>
  <si>
    <t>§ 52-00</t>
  </si>
  <si>
    <t>5.4. Дневни центрове за стари хора</t>
  </si>
  <si>
    <t>5.5. Социален асистент</t>
  </si>
  <si>
    <t>издръжка в т.ч. Спортен календар</t>
  </si>
  <si>
    <t>субсидии на организации с нестопанска цел</t>
  </si>
  <si>
    <t>други текущи трансфери за домакинствата</t>
  </si>
  <si>
    <t>дофинансиране</t>
  </si>
  <si>
    <t xml:space="preserve">1.2. Общински съвет </t>
  </si>
  <si>
    <t xml:space="preserve">
§ 52-00</t>
  </si>
  <si>
    <t>§ 51-00
§ 53-00</t>
  </si>
  <si>
    <t>§ 42-00</t>
  </si>
  <si>
    <t>общо</t>
  </si>
  <si>
    <t>%
изпълне
ние</t>
  </si>
  <si>
    <t>1.3. Държавни и общински служби и дейности по изборите</t>
  </si>
  <si>
    <t>§ 51-00
§ 52-00
§ 53-00</t>
  </si>
  <si>
    <t>субсидии и други текущи трансфери на организации с нестопанска цел</t>
  </si>
  <si>
    <t>§ 51-00
§ 52-00</t>
  </si>
  <si>
    <t>4.4. Многопрофилни болници за активно лечение</t>
  </si>
  <si>
    <t>8.4. Други дейности по селско и горско стопанство, лов и риболов</t>
  </si>
  <si>
    <t>Бюджет 2017 година</t>
  </si>
  <si>
    <t>3.1. Детски градини</t>
  </si>
  <si>
    <t>3.2. Неспециализирани училища, без професионални гимназии</t>
  </si>
  <si>
    <t>3.3. Професионални гимназии и паралелки за професионална подготовка</t>
  </si>
  <si>
    <t xml:space="preserve">3.5. Други дейности по образованието </t>
  </si>
  <si>
    <t>3.4. Общежития</t>
  </si>
  <si>
    <t>4.1. Детски ясли, детски кухни и яслени групи в детска градина</t>
  </si>
  <si>
    <t xml:space="preserve">5.6. Други служби и дейности по социално осигуряване, подпомагане и заетостта </t>
  </si>
  <si>
    <t>6.2. Други дейности по жилищното строителство, благоустройството и регионалното развитие</t>
  </si>
  <si>
    <t>6.3. Изграждане, ремонт и поддържане на уличната мрежа</t>
  </si>
  <si>
    <t>6.5. Озеленяване</t>
  </si>
  <si>
    <t>VІ.ФУНКЦИЯ ЖИЛИЩНО СТРОИТЕЛСТВО, БКС И ОПАЗВАНЕ НА ОКОЛНАТА СРЕДА</t>
  </si>
  <si>
    <t>5.2. Пенсионерски клубове и клубове на инвалида</t>
  </si>
  <si>
    <t>6.6. Управление на дейностите по отпадъците</t>
  </si>
  <si>
    <t>Бюджет 2018 година</t>
  </si>
  <si>
    <t>Отчет към 31.12.2017 г.</t>
  </si>
  <si>
    <t>Приложение №5</t>
  </si>
  <si>
    <t xml:space="preserve">Актуализиран 
план към 31.12.2017 г.
</t>
  </si>
  <si>
    <t xml:space="preserve"> СПРАВКА ПРОЕКТ ЗА РАЗПРЕДЕЛЕНИЕ НА РАЗХОДИТЕ ЗА ДЕЛЕГИРАНИ ОТ ДЪРЖАВАТА ДЕЙНОСТИ  И ОБЩИНСКИ ДЕЙНОСТИ ЗА 2018 ГОДИНА НА ОБЩИНА КНЕЖА</t>
  </si>
  <si>
    <t>§ 51-00</t>
  </si>
  <si>
    <t>КУЛТУРА, СПОРТ, ПОЧИВНИ ДЕЙНОСТИ И РЕЛИГИОЗНО ДЕЛО</t>
  </si>
</sst>
</file>

<file path=xl/styles.xml><?xml version="1.0" encoding="utf-8"?>
<styleSheet xmlns="http://schemas.openxmlformats.org/spreadsheetml/2006/main">
  <numFmts count="4">
    <numFmt numFmtId="164" formatCode="#\ ##0"/>
    <numFmt numFmtId="165" formatCode="#\ ###\ ##0"/>
    <numFmt numFmtId="166" formatCode="0.0"/>
    <numFmt numFmtId="167" formatCode="#.##"/>
  </numFmts>
  <fonts count="20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67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9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164" fontId="14" fillId="3" borderId="1" xfId="0" applyNumberFormat="1" applyFont="1" applyFill="1" applyBorder="1" applyAlignment="1" applyProtection="1">
      <alignment horizontal="left" wrapText="1"/>
    </xf>
    <xf numFmtId="164" fontId="14" fillId="3" borderId="1" xfId="0" applyNumberFormat="1" applyFont="1" applyFill="1" applyBorder="1" applyAlignment="1" applyProtection="1">
      <alignment horizontal="center"/>
    </xf>
    <xf numFmtId="164" fontId="14" fillId="3" borderId="1" xfId="0" applyNumberFormat="1" applyFont="1" applyFill="1" applyBorder="1" applyAlignment="1" applyProtection="1">
      <alignment horizontal="right"/>
    </xf>
    <xf numFmtId="164" fontId="15" fillId="3" borderId="1" xfId="0" applyNumberFormat="1" applyFont="1" applyFill="1" applyBorder="1" applyAlignment="1" applyProtection="1">
      <alignment horizontal="center"/>
    </xf>
    <xf numFmtId="164" fontId="14" fillId="3" borderId="1" xfId="0" applyNumberFormat="1" applyFont="1" applyFill="1" applyBorder="1" applyAlignment="1" applyProtection="1">
      <alignment horizontal="center" wrapText="1"/>
    </xf>
    <xf numFmtId="164" fontId="14" fillId="0" borderId="1" xfId="0" applyNumberFormat="1" applyFont="1" applyFill="1" applyBorder="1" applyAlignment="1" applyProtection="1">
      <alignment horizontal="right"/>
    </xf>
    <xf numFmtId="49" fontId="14" fillId="3" borderId="1" xfId="0" applyNumberFormat="1" applyFont="1" applyFill="1" applyBorder="1" applyAlignment="1" applyProtection="1">
      <alignment horizontal="left" wrapText="1"/>
    </xf>
    <xf numFmtId="1" fontId="14" fillId="3" borderId="1" xfId="0" applyNumberFormat="1" applyFont="1" applyFill="1" applyBorder="1" applyAlignment="1" applyProtection="1">
      <alignment horizontal="center"/>
    </xf>
    <xf numFmtId="164" fontId="14" fillId="3" borderId="1" xfId="0" applyNumberFormat="1" applyFont="1" applyFill="1" applyBorder="1" applyAlignment="1" applyProtection="1">
      <alignment horizontal="left"/>
    </xf>
    <xf numFmtId="165" fontId="14" fillId="3" borderId="1" xfId="0" applyNumberFormat="1" applyFont="1" applyFill="1" applyBorder="1" applyAlignment="1" applyProtection="1">
      <alignment horizontal="right"/>
    </xf>
    <xf numFmtId="164" fontId="14" fillId="3" borderId="1" xfId="0" applyNumberFormat="1" applyFont="1" applyFill="1" applyBorder="1" applyAlignment="1" applyProtection="1">
      <alignment horizontal="right" wrapText="1"/>
    </xf>
    <xf numFmtId="166" fontId="14" fillId="3" borderId="1" xfId="0" applyNumberFormat="1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right" wrapText="1"/>
    </xf>
    <xf numFmtId="164" fontId="15" fillId="3" borderId="1" xfId="0" applyNumberFormat="1" applyFont="1" applyFill="1" applyBorder="1" applyAlignment="1" applyProtection="1">
      <alignment horizontal="right"/>
    </xf>
    <xf numFmtId="164" fontId="14" fillId="3" borderId="1" xfId="0" applyNumberFormat="1" applyFont="1" applyFill="1" applyBorder="1" applyAlignment="1" applyProtection="1"/>
    <xf numFmtId="164" fontId="14" fillId="3" borderId="2" xfId="0" applyNumberFormat="1" applyFont="1" applyFill="1" applyBorder="1" applyAlignment="1" applyProtection="1">
      <alignment horizontal="left" wrapText="1"/>
    </xf>
    <xf numFmtId="164" fontId="14" fillId="3" borderId="2" xfId="0" applyNumberFormat="1" applyFont="1" applyFill="1" applyBorder="1" applyAlignment="1" applyProtection="1">
      <alignment horizontal="center" wrapText="1"/>
    </xf>
    <xf numFmtId="164" fontId="14" fillId="3" borderId="2" xfId="0" applyNumberFormat="1" applyFont="1" applyFill="1" applyBorder="1" applyAlignment="1" applyProtection="1">
      <alignment horizontal="right"/>
    </xf>
    <xf numFmtId="164" fontId="16" fillId="3" borderId="3" xfId="0" applyNumberFormat="1" applyFont="1" applyFill="1" applyBorder="1" applyAlignment="1" applyProtection="1">
      <alignment horizontal="left" wrapText="1"/>
    </xf>
    <xf numFmtId="1" fontId="16" fillId="3" borderId="3" xfId="0" applyNumberFormat="1" applyFont="1" applyFill="1" applyBorder="1" applyAlignment="1" applyProtection="1">
      <alignment horizontal="right"/>
    </xf>
    <xf numFmtId="3" fontId="16" fillId="3" borderId="3" xfId="0" applyNumberFormat="1" applyFont="1" applyFill="1" applyBorder="1" applyAlignment="1" applyProtection="1">
      <alignment horizontal="right"/>
    </xf>
    <xf numFmtId="164" fontId="16" fillId="3" borderId="3" xfId="0" applyNumberFormat="1" applyFont="1" applyFill="1" applyBorder="1" applyAlignment="1" applyProtection="1">
      <alignment horizontal="right"/>
    </xf>
    <xf numFmtId="1" fontId="14" fillId="3" borderId="2" xfId="0" applyNumberFormat="1" applyFont="1" applyFill="1" applyBorder="1" applyAlignment="1" applyProtection="1">
      <alignment horizontal="center"/>
    </xf>
    <xf numFmtId="164" fontId="14" fillId="3" borderId="2" xfId="0" applyNumberFormat="1" applyFont="1" applyFill="1" applyBorder="1" applyAlignment="1" applyProtection="1">
      <alignment horizontal="center"/>
    </xf>
    <xf numFmtId="165" fontId="14" fillId="3" borderId="2" xfId="0" applyNumberFormat="1" applyFont="1" applyFill="1" applyBorder="1" applyAlignment="1" applyProtection="1">
      <alignment horizontal="right"/>
    </xf>
    <xf numFmtId="164" fontId="16" fillId="3" borderId="3" xfId="0" applyNumberFormat="1" applyFont="1" applyFill="1" applyBorder="1" applyAlignment="1" applyProtection="1">
      <alignment horizontal="center"/>
    </xf>
    <xf numFmtId="165" fontId="16" fillId="3" borderId="3" xfId="0" applyNumberFormat="1" applyFont="1" applyFill="1" applyBorder="1" applyAlignment="1" applyProtection="1">
      <alignment horizontal="right"/>
    </xf>
    <xf numFmtId="164" fontId="14" fillId="3" borderId="2" xfId="0" applyNumberFormat="1" applyFont="1" applyFill="1" applyBorder="1" applyAlignment="1" applyProtection="1">
      <alignment horizontal="right" wrapText="1"/>
    </xf>
    <xf numFmtId="164" fontId="16" fillId="3" borderId="3" xfId="0" applyNumberFormat="1" applyFont="1" applyFill="1" applyBorder="1" applyAlignment="1" applyProtection="1">
      <alignment horizontal="right" wrapText="1"/>
    </xf>
    <xf numFmtId="164" fontId="14" fillId="3" borderId="3" xfId="0" applyNumberFormat="1" applyFont="1" applyFill="1" applyBorder="1" applyAlignment="1" applyProtection="1">
      <alignment horizontal="center"/>
    </xf>
    <xf numFmtId="166" fontId="14" fillId="3" borderId="2" xfId="0" applyNumberFormat="1" applyFont="1" applyFill="1" applyBorder="1" applyAlignment="1" applyProtection="1">
      <alignment horizontal="center"/>
    </xf>
    <xf numFmtId="166" fontId="16" fillId="3" borderId="3" xfId="0" applyNumberFormat="1" applyFont="1" applyFill="1" applyBorder="1" applyAlignment="1" applyProtection="1">
      <alignment horizontal="right"/>
    </xf>
    <xf numFmtId="164" fontId="16" fillId="3" borderId="3" xfId="0" applyNumberFormat="1" applyFont="1" applyFill="1" applyBorder="1" applyAlignment="1" applyProtection="1">
      <alignment horizontal="left"/>
    </xf>
    <xf numFmtId="166" fontId="16" fillId="3" borderId="3" xfId="0" applyNumberFormat="1" applyFont="1" applyFill="1" applyBorder="1" applyAlignment="1" applyProtection="1">
      <alignment horizontal="center"/>
    </xf>
    <xf numFmtId="164" fontId="14" fillId="3" borderId="4" xfId="0" applyNumberFormat="1" applyFont="1" applyFill="1" applyBorder="1" applyAlignment="1" applyProtection="1">
      <alignment horizontal="right" wrapText="1"/>
    </xf>
    <xf numFmtId="164" fontId="15" fillId="3" borderId="1" xfId="0" applyNumberFormat="1" applyFont="1" applyFill="1" applyBorder="1" applyAlignment="1" applyProtection="1">
      <alignment horizontal="left" wrapText="1"/>
    </xf>
    <xf numFmtId="164" fontId="15" fillId="3" borderId="1" xfId="0" applyNumberFormat="1" applyFont="1" applyFill="1" applyBorder="1" applyAlignment="1" applyProtection="1">
      <alignment horizontal="left"/>
    </xf>
    <xf numFmtId="49" fontId="14" fillId="0" borderId="1" xfId="0" applyNumberFormat="1" applyFont="1" applyFill="1" applyBorder="1" applyAlignment="1" applyProtection="1">
      <alignment horizontal="left" wrapText="1"/>
    </xf>
    <xf numFmtId="164" fontId="14" fillId="0" borderId="1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5" fontId="15" fillId="3" borderId="1" xfId="0" applyNumberFormat="1" applyFont="1" applyFill="1" applyBorder="1" applyAlignment="1" applyProtection="1">
      <alignment horizontal="right"/>
    </xf>
    <xf numFmtId="3" fontId="15" fillId="3" borderId="1" xfId="0" applyNumberFormat="1" applyFont="1" applyFill="1" applyBorder="1" applyAlignment="1" applyProtection="1">
      <alignment horizontal="right"/>
    </xf>
    <xf numFmtId="164" fontId="15" fillId="3" borderId="3" xfId="0" applyNumberFormat="1" applyFont="1" applyFill="1" applyBorder="1" applyAlignment="1" applyProtection="1">
      <alignment horizontal="right"/>
    </xf>
    <xf numFmtId="164" fontId="15" fillId="3" borderId="3" xfId="0" applyNumberFormat="1" applyFont="1" applyFill="1" applyBorder="1" applyAlignment="1" applyProtection="1">
      <alignment horizontal="center"/>
    </xf>
    <xf numFmtId="164" fontId="14" fillId="3" borderId="5" xfId="0" applyNumberFormat="1" applyFont="1" applyFill="1" applyBorder="1" applyAlignment="1" applyProtection="1">
      <alignment horizontal="left" wrapText="1"/>
    </xf>
    <xf numFmtId="164" fontId="14" fillId="3" borderId="5" xfId="0" applyNumberFormat="1" applyFont="1" applyFill="1" applyBorder="1" applyAlignment="1" applyProtection="1">
      <alignment horizontal="center"/>
    </xf>
    <xf numFmtId="164" fontId="14" fillId="3" borderId="5" xfId="0" applyNumberFormat="1" applyFont="1" applyFill="1" applyBorder="1" applyAlignment="1" applyProtection="1">
      <alignment horizontal="right" wrapText="1"/>
    </xf>
    <xf numFmtId="164" fontId="14" fillId="3" borderId="4" xfId="0" applyNumberFormat="1" applyFont="1" applyFill="1" applyBorder="1" applyAlignment="1" applyProtection="1">
      <alignment horizontal="left" wrapText="1"/>
    </xf>
    <xf numFmtId="164" fontId="14" fillId="3" borderId="5" xfId="0" applyNumberFormat="1" applyFont="1" applyFill="1" applyBorder="1" applyAlignment="1" applyProtection="1">
      <alignment horizontal="right"/>
    </xf>
    <xf numFmtId="164" fontId="14" fillId="3" borderId="5" xfId="0" applyNumberFormat="1" applyFont="1" applyFill="1" applyBorder="1" applyAlignment="1" applyProtection="1">
      <alignment horizontal="center" wrapText="1"/>
    </xf>
    <xf numFmtId="165" fontId="14" fillId="3" borderId="5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vertical="top"/>
    </xf>
    <xf numFmtId="3" fontId="8" fillId="0" borderId="0" xfId="0" applyNumberFormat="1" applyFont="1" applyFill="1" applyBorder="1" applyAlignment="1" applyProtection="1">
      <alignment vertical="top"/>
    </xf>
    <xf numFmtId="164" fontId="14" fillId="3" borderId="2" xfId="0" applyNumberFormat="1" applyFont="1" applyFill="1" applyBorder="1" applyAlignment="1" applyProtection="1">
      <alignment horizontal="left"/>
    </xf>
    <xf numFmtId="164" fontId="14" fillId="3" borderId="3" xfId="0" applyNumberFormat="1" applyFont="1" applyFill="1" applyBorder="1" applyAlignment="1" applyProtection="1">
      <alignment horizontal="right"/>
    </xf>
    <xf numFmtId="164" fontId="13" fillId="0" borderId="1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164" fontId="13" fillId="0" borderId="2" xfId="0" applyNumberFormat="1" applyFont="1" applyFill="1" applyBorder="1" applyAlignment="1" applyProtection="1"/>
    <xf numFmtId="165" fontId="13" fillId="0" borderId="1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165" fontId="13" fillId="3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/>
    <xf numFmtId="2" fontId="8" fillId="0" borderId="1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2" fontId="8" fillId="0" borderId="3" xfId="0" applyNumberFormat="1" applyFont="1" applyFill="1" applyBorder="1" applyAlignment="1" applyProtection="1"/>
    <xf numFmtId="165" fontId="13" fillId="0" borderId="2" xfId="0" applyNumberFormat="1" applyFont="1" applyFill="1" applyBorder="1" applyAlignment="1" applyProtection="1"/>
    <xf numFmtId="165" fontId="13" fillId="3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right"/>
    </xf>
    <xf numFmtId="2" fontId="6" fillId="0" borderId="5" xfId="0" applyNumberFormat="1" applyFont="1" applyFill="1" applyBorder="1" applyAlignment="1" applyProtection="1"/>
    <xf numFmtId="167" fontId="18" fillId="3" borderId="3" xfId="0" applyNumberFormat="1" applyFont="1" applyFill="1" applyBorder="1" applyAlignment="1" applyProtection="1">
      <alignment horizontal="right" wrapText="1"/>
    </xf>
    <xf numFmtId="166" fontId="14" fillId="3" borderId="1" xfId="0" applyNumberFormat="1" applyFont="1" applyFill="1" applyBorder="1" applyAlignment="1" applyProtection="1">
      <alignment horizontal="center" wrapText="1"/>
    </xf>
    <xf numFmtId="164" fontId="14" fillId="3" borderId="4" xfId="0" applyNumberFormat="1" applyFont="1" applyFill="1" applyBorder="1" applyAlignment="1" applyProtection="1">
      <alignment horizontal="center" wrapText="1"/>
    </xf>
    <xf numFmtId="166" fontId="14" fillId="3" borderId="5" xfId="0" applyNumberFormat="1" applyFont="1" applyFill="1" applyBorder="1" applyAlignment="1" applyProtection="1">
      <alignment horizontal="center"/>
    </xf>
    <xf numFmtId="2" fontId="8" fillId="0" borderId="2" xfId="0" applyNumberFormat="1" applyFont="1" applyFill="1" applyBorder="1" applyAlignment="1" applyProtection="1"/>
    <xf numFmtId="164" fontId="12" fillId="0" borderId="3" xfId="0" applyNumberFormat="1" applyFont="1" applyFill="1" applyBorder="1" applyAlignment="1" applyProtection="1"/>
    <xf numFmtId="165" fontId="13" fillId="0" borderId="5" xfId="0" applyNumberFormat="1" applyFont="1" applyFill="1" applyBorder="1" applyAlignment="1" applyProtection="1"/>
    <xf numFmtId="165" fontId="14" fillId="3" borderId="4" xfId="0" applyNumberFormat="1" applyFont="1" applyFill="1" applyBorder="1" applyAlignment="1" applyProtection="1">
      <alignment horizontal="right"/>
    </xf>
    <xf numFmtId="165" fontId="13" fillId="0" borderId="4" xfId="0" applyNumberFormat="1" applyFont="1" applyFill="1" applyBorder="1" applyAlignment="1" applyProtection="1"/>
    <xf numFmtId="2" fontId="6" fillId="0" borderId="4" xfId="0" applyNumberFormat="1" applyFont="1" applyFill="1" applyBorder="1" applyAlignment="1" applyProtection="1"/>
    <xf numFmtId="164" fontId="16" fillId="3" borderId="3" xfId="0" applyNumberFormat="1" applyFont="1" applyFill="1" applyBorder="1" applyAlignment="1" applyProtection="1">
      <alignment horizontal="center" wrapText="1"/>
    </xf>
    <xf numFmtId="167" fontId="18" fillId="3" borderId="3" xfId="0" applyNumberFormat="1" applyFont="1" applyFill="1" applyBorder="1" applyAlignment="1" applyProtection="1">
      <alignment horizontal="right"/>
    </xf>
    <xf numFmtId="3" fontId="14" fillId="3" borderId="1" xfId="0" applyNumberFormat="1" applyFont="1" applyFill="1" applyBorder="1" applyAlignment="1" applyProtection="1">
      <alignment horizontal="right"/>
    </xf>
    <xf numFmtId="164" fontId="13" fillId="0" borderId="5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/>
    <xf numFmtId="4" fontId="6" fillId="0" borderId="2" xfId="0" applyNumberFormat="1" applyFont="1" applyFill="1" applyBorder="1" applyAlignment="1" applyProtection="1"/>
    <xf numFmtId="3" fontId="13" fillId="0" borderId="3" xfId="0" applyNumberFormat="1" applyFont="1" applyFill="1" applyBorder="1" applyAlignment="1" applyProtection="1"/>
    <xf numFmtId="3" fontId="13" fillId="0" borderId="2" xfId="0" applyNumberFormat="1" applyFont="1" applyFill="1" applyBorder="1" applyAlignment="1" applyProtection="1"/>
    <xf numFmtId="3" fontId="13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/>
    <xf numFmtId="3" fontId="13" fillId="3" borderId="1" xfId="0" applyNumberFormat="1" applyFont="1" applyFill="1" applyBorder="1" applyAlignment="1" applyProtection="1"/>
    <xf numFmtId="3" fontId="13" fillId="3" borderId="2" xfId="0" applyNumberFormat="1" applyFont="1" applyFill="1" applyBorder="1" applyAlignment="1" applyProtection="1"/>
    <xf numFmtId="164" fontId="14" fillId="3" borderId="4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vertical="top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3" fontId="13" fillId="0" borderId="5" xfId="0" applyNumberFormat="1" applyFont="1" applyFill="1" applyBorder="1" applyAlignment="1" applyProtection="1"/>
    <xf numFmtId="3" fontId="13" fillId="0" borderId="4" xfId="0" applyNumberFormat="1" applyFont="1" applyFill="1" applyBorder="1" applyAlignment="1" applyProtection="1"/>
    <xf numFmtId="1" fontId="14" fillId="3" borderId="5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164" fontId="13" fillId="0" borderId="4" xfId="0" applyNumberFormat="1" applyFont="1" applyFill="1" applyBorder="1" applyAlignment="1" applyProtection="1"/>
    <xf numFmtId="164" fontId="16" fillId="0" borderId="3" xfId="0" applyNumberFormat="1" applyFont="1" applyFill="1" applyBorder="1" applyAlignment="1" applyProtection="1">
      <alignment horizontal="left" wrapText="1"/>
    </xf>
    <xf numFmtId="164" fontId="16" fillId="0" borderId="3" xfId="0" applyNumberFormat="1" applyFont="1" applyFill="1" applyBorder="1" applyAlignment="1" applyProtection="1">
      <alignment horizontal="center"/>
    </xf>
    <xf numFmtId="164" fontId="16" fillId="0" borderId="3" xfId="0" applyNumberFormat="1" applyFont="1" applyFill="1" applyBorder="1" applyAlignment="1" applyProtection="1">
      <alignment horizontal="right"/>
    </xf>
    <xf numFmtId="164" fontId="14" fillId="0" borderId="2" xfId="0" applyNumberFormat="1" applyFont="1" applyFill="1" applyBorder="1" applyAlignment="1" applyProtection="1">
      <alignment horizontal="left" wrapText="1"/>
    </xf>
    <xf numFmtId="164" fontId="14" fillId="0" borderId="2" xfId="0" applyNumberFormat="1" applyFont="1" applyFill="1" applyBorder="1" applyAlignment="1" applyProtection="1">
      <alignment horizontal="center"/>
    </xf>
    <xf numFmtId="164" fontId="14" fillId="0" borderId="2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 vertical="top"/>
    </xf>
    <xf numFmtId="164" fontId="14" fillId="3" borderId="4" xfId="0" applyNumberFormat="1" applyFont="1" applyFill="1" applyBorder="1" applyAlignment="1" applyProtection="1">
      <alignment horizontal="right"/>
    </xf>
    <xf numFmtId="3" fontId="19" fillId="0" borderId="0" xfId="0" applyNumberFormat="1" applyFont="1" applyFill="1" applyBorder="1" applyAlignment="1" applyProtection="1">
      <alignment vertical="top"/>
    </xf>
    <xf numFmtId="165" fontId="19" fillId="0" borderId="0" xfId="0" applyNumberFormat="1" applyFont="1" applyFill="1" applyBorder="1" applyAlignment="1" applyProtection="1">
      <alignment vertical="top"/>
    </xf>
    <xf numFmtId="3" fontId="12" fillId="0" borderId="3" xfId="0" applyNumberFormat="1" applyFont="1" applyFill="1" applyBorder="1" applyAlignment="1" applyProtection="1"/>
    <xf numFmtId="3" fontId="12" fillId="3" borderId="3" xfId="0" applyNumberFormat="1" applyFont="1" applyFill="1" applyBorder="1" applyAlignment="1" applyProtection="1"/>
    <xf numFmtId="3" fontId="16" fillId="0" borderId="3" xfId="0" applyNumberFormat="1" applyFont="1" applyFill="1" applyBorder="1" applyAlignment="1" applyProtection="1">
      <alignment horizontal="right"/>
    </xf>
    <xf numFmtId="164" fontId="14" fillId="0" borderId="4" xfId="0" applyNumberFormat="1" applyFont="1" applyFill="1" applyBorder="1" applyAlignment="1" applyProtection="1">
      <alignment horizontal="left" wrapText="1"/>
    </xf>
    <xf numFmtId="164" fontId="14" fillId="0" borderId="4" xfId="0" applyNumberFormat="1" applyFont="1" applyFill="1" applyBorder="1" applyAlignment="1" applyProtection="1">
      <alignment horizontal="center"/>
    </xf>
    <xf numFmtId="3" fontId="14" fillId="0" borderId="4" xfId="0" applyNumberFormat="1" applyFont="1" applyFill="1" applyBorder="1" applyAlignment="1" applyProtection="1">
      <alignment horizontal="right"/>
    </xf>
    <xf numFmtId="3" fontId="16" fillId="0" borderId="4" xfId="0" applyNumberFormat="1" applyFont="1" applyFill="1" applyBorder="1" applyAlignment="1" applyProtection="1">
      <alignment horizontal="right"/>
    </xf>
    <xf numFmtId="164" fontId="14" fillId="0" borderId="5" xfId="0" applyNumberFormat="1" applyFont="1" applyFill="1" applyBorder="1" applyAlignment="1" applyProtection="1">
      <alignment horizontal="left" wrapText="1"/>
    </xf>
    <xf numFmtId="164" fontId="14" fillId="0" borderId="5" xfId="0" applyNumberFormat="1" applyFont="1" applyFill="1" applyBorder="1" applyAlignment="1" applyProtection="1">
      <alignment horizontal="center"/>
    </xf>
    <xf numFmtId="3" fontId="14" fillId="0" borderId="5" xfId="0" applyNumberFormat="1" applyFont="1" applyFill="1" applyBorder="1" applyAlignment="1" applyProtection="1">
      <alignment horizontal="right"/>
    </xf>
    <xf numFmtId="3" fontId="16" fillId="0" borderId="5" xfId="0" applyNumberFormat="1" applyFont="1" applyFill="1" applyBorder="1" applyAlignment="1" applyProtection="1">
      <alignment horizontal="right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164" fontId="12" fillId="0" borderId="5" xfId="0" applyNumberFormat="1" applyFont="1" applyFill="1" applyBorder="1" applyAlignment="1" applyProtection="1">
      <alignment horizontal="center" wrapText="1"/>
    </xf>
    <xf numFmtId="164" fontId="12" fillId="0" borderId="2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/>
    </xf>
    <xf numFmtId="164" fontId="12" fillId="0" borderId="2" xfId="0" applyNumberFormat="1" applyFont="1" applyFill="1" applyBorder="1" applyAlignment="1" applyProtection="1">
      <alignment horizontal="center" vertical="center"/>
    </xf>
    <xf numFmtId="164" fontId="11" fillId="0" borderId="6" xfId="0" applyNumberFormat="1" applyFont="1" applyFill="1" applyBorder="1" applyAlignment="1" applyProtection="1">
      <alignment horizontal="center" vertical="center"/>
    </xf>
    <xf numFmtId="164" fontId="11" fillId="0" borderId="7" xfId="0" applyNumberFormat="1" applyFont="1" applyFill="1" applyBorder="1" applyAlignment="1" applyProtection="1">
      <alignment horizontal="center" vertical="center"/>
    </xf>
    <xf numFmtId="164" fontId="11" fillId="0" borderId="8" xfId="0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Fill="1" applyBorder="1" applyAlignment="1" applyProtection="1">
      <alignment horizontal="center" vertical="center"/>
    </xf>
    <xf numFmtId="164" fontId="12" fillId="0" borderId="7" xfId="0" applyNumberFormat="1" applyFont="1" applyFill="1" applyBorder="1" applyAlignment="1" applyProtection="1">
      <alignment horizontal="center" vertical="center"/>
    </xf>
    <xf numFmtId="164" fontId="12" fillId="0" borderId="8" xfId="0" applyNumberFormat="1" applyFont="1" applyFill="1" applyBorder="1" applyAlignment="1" applyProtection="1">
      <alignment horizontal="center" vertical="center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21"/>
  <sheetViews>
    <sheetView tabSelected="1" topLeftCell="B195" zoomScale="60" zoomScaleNormal="60" workbookViewId="0">
      <selection activeCell="M213" sqref="M213:M215"/>
    </sheetView>
  </sheetViews>
  <sheetFormatPr defaultRowHeight="12.75"/>
  <cols>
    <col min="1" max="1" width="3.28515625" hidden="1" customWidth="1"/>
    <col min="2" max="2" width="77.7109375" customWidth="1"/>
    <col min="3" max="3" width="13.7109375" customWidth="1"/>
    <col min="4" max="4" width="18.7109375" customWidth="1"/>
    <col min="5" max="5" width="17.7109375" customWidth="1"/>
    <col min="6" max="7" width="17.28515625" customWidth="1"/>
    <col min="8" max="8" width="19" customWidth="1"/>
    <col min="9" max="9" width="17.28515625" customWidth="1"/>
    <col min="10" max="10" width="9.7109375" bestFit="1" customWidth="1"/>
    <col min="11" max="12" width="17.28515625" customWidth="1"/>
    <col min="13" max="13" width="18.28515625" customWidth="1"/>
    <col min="14" max="14" width="17.28515625" customWidth="1"/>
  </cols>
  <sheetData>
    <row r="1" spans="2:15" ht="15.75">
      <c r="H1" s="149"/>
      <c r="I1" s="149"/>
      <c r="J1" s="149"/>
      <c r="M1" s="151" t="s">
        <v>97</v>
      </c>
      <c r="N1" s="151"/>
      <c r="O1" s="151"/>
    </row>
    <row r="4" spans="2:15">
      <c r="B4" s="7"/>
      <c r="C4" s="8"/>
      <c r="D4" s="8"/>
      <c r="E4" s="8"/>
      <c r="F4" s="8"/>
      <c r="G4" s="8"/>
      <c r="H4" s="8"/>
    </row>
    <row r="5" spans="2:15" ht="45" customHeight="1">
      <c r="B5" s="152" t="s">
        <v>99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5" ht="14.25" customHeight="1">
      <c r="B6" s="150"/>
      <c r="C6" s="150"/>
      <c r="D6" s="150"/>
      <c r="E6" s="150"/>
      <c r="F6" s="150"/>
      <c r="G6" s="150"/>
      <c r="H6" s="150"/>
    </row>
    <row r="7" spans="2:15" ht="46.5" customHeight="1">
      <c r="B7" s="155" t="s">
        <v>0</v>
      </c>
      <c r="C7" s="156" t="s">
        <v>10</v>
      </c>
      <c r="D7" s="159" t="s">
        <v>81</v>
      </c>
      <c r="E7" s="160"/>
      <c r="F7" s="160"/>
      <c r="G7" s="160"/>
      <c r="H7" s="160"/>
      <c r="I7" s="160"/>
      <c r="J7" s="161"/>
      <c r="K7" s="143" t="s">
        <v>95</v>
      </c>
      <c r="L7" s="144"/>
      <c r="M7" s="144"/>
      <c r="N7" s="145"/>
    </row>
    <row r="8" spans="2:15" ht="46.5" customHeight="1">
      <c r="B8" s="155"/>
      <c r="C8" s="157"/>
      <c r="D8" s="165" t="s">
        <v>1</v>
      </c>
      <c r="E8" s="147" t="s">
        <v>98</v>
      </c>
      <c r="F8" s="162" t="s">
        <v>96</v>
      </c>
      <c r="G8" s="163"/>
      <c r="H8" s="163"/>
      <c r="I8" s="163"/>
      <c r="J8" s="164"/>
      <c r="K8" s="146"/>
      <c r="L8" s="146"/>
      <c r="M8" s="146"/>
      <c r="N8" s="146"/>
    </row>
    <row r="9" spans="2:15" ht="51" customHeight="1">
      <c r="B9" s="155"/>
      <c r="C9" s="158"/>
      <c r="D9" s="166"/>
      <c r="E9" s="148"/>
      <c r="F9" s="55" t="s">
        <v>38</v>
      </c>
      <c r="G9" s="55" t="s">
        <v>39</v>
      </c>
      <c r="H9" s="55" t="s">
        <v>68</v>
      </c>
      <c r="I9" s="78" t="s">
        <v>73</v>
      </c>
      <c r="J9" s="85" t="s">
        <v>74</v>
      </c>
      <c r="K9" s="55" t="s">
        <v>38</v>
      </c>
      <c r="L9" s="55" t="s">
        <v>39</v>
      </c>
      <c r="M9" s="55" t="s">
        <v>68</v>
      </c>
      <c r="N9" s="78" t="s">
        <v>73</v>
      </c>
    </row>
    <row r="10" spans="2:15" ht="12.75" customHeight="1">
      <c r="B10" s="72">
        <v>1</v>
      </c>
      <c r="C10" s="72">
        <v>2</v>
      </c>
      <c r="D10" s="72">
        <v>3</v>
      </c>
      <c r="E10" s="72">
        <v>4</v>
      </c>
      <c r="F10" s="72">
        <v>5</v>
      </c>
      <c r="G10" s="72">
        <v>6</v>
      </c>
      <c r="H10" s="72">
        <v>7</v>
      </c>
      <c r="I10" s="73">
        <v>8</v>
      </c>
      <c r="J10" s="86">
        <v>9</v>
      </c>
      <c r="K10" s="86">
        <v>10</v>
      </c>
      <c r="L10" s="86">
        <v>11</v>
      </c>
      <c r="M10" s="86">
        <v>12</v>
      </c>
      <c r="N10" s="86">
        <v>13</v>
      </c>
    </row>
    <row r="11" spans="2:15" s="1" customFormat="1" ht="36" customHeight="1">
      <c r="B11" s="50" t="s">
        <v>5</v>
      </c>
      <c r="C11" s="17"/>
      <c r="D11" s="56">
        <f>D12+D23</f>
        <v>1504910</v>
      </c>
      <c r="E11" s="56">
        <f>E12+E23+E30</f>
        <v>1527441</v>
      </c>
      <c r="F11" s="56">
        <f>F12+F23+F30</f>
        <v>545081</v>
      </c>
      <c r="G11" s="56">
        <f>G12+G23+G30</f>
        <v>826846</v>
      </c>
      <c r="H11" s="56">
        <f>H12+H23+H30</f>
        <v>260232</v>
      </c>
      <c r="I11" s="56">
        <f>I12+I23+I30</f>
        <v>1632159</v>
      </c>
      <c r="J11" s="87">
        <f>I11/E11*100</f>
        <v>106.85578035420026</v>
      </c>
      <c r="K11" s="56">
        <f>K12+K23+K30</f>
        <v>577000</v>
      </c>
      <c r="L11" s="56">
        <f t="shared" ref="L11:N11" si="0">L12+L23+L30</f>
        <v>748635</v>
      </c>
      <c r="M11" s="56">
        <f t="shared" si="0"/>
        <v>247657</v>
      </c>
      <c r="N11" s="56">
        <f t="shared" si="0"/>
        <v>1573292</v>
      </c>
    </row>
    <row r="12" spans="2:15" ht="22.5" customHeight="1" thickBot="1">
      <c r="B12" s="32" t="s">
        <v>8</v>
      </c>
      <c r="C12" s="33"/>
      <c r="D12" s="34">
        <f>D13+D14+D15+D16+D18+D21+D22+D17+D19</f>
        <v>1349288</v>
      </c>
      <c r="E12" s="34">
        <f>E13+E14+E15+E16+E18+E21+E22+E17+E19</f>
        <v>1353602</v>
      </c>
      <c r="F12" s="34">
        <f>F13+F14+F15+F16+F18+F21+F22+F17+F19+F20</f>
        <v>526100</v>
      </c>
      <c r="G12" s="34">
        <f>G13+G14+G15+G16+G18+G21+G22+G17+G19+G20</f>
        <v>658265</v>
      </c>
      <c r="H12" s="34">
        <f>H13+H14+H15+H16+H18+H21+H22+H17+H19+H20</f>
        <v>260232</v>
      </c>
      <c r="I12" s="34">
        <f>I13+I14+I15+I16+I18+I21+I22+I17+I19+I20</f>
        <v>1444597</v>
      </c>
      <c r="J12" s="82">
        <f>I12/E12*100</f>
        <v>106.72243392075367</v>
      </c>
      <c r="K12" s="132">
        <f>K13+K14+K15+K16+K17+K18+K19+K20+K21+K22</f>
        <v>577000</v>
      </c>
      <c r="L12" s="132">
        <f t="shared" ref="L12:N12" si="1">L13+L14+L15+L16+L17+L18+L19+L20+L21+L22</f>
        <v>593163</v>
      </c>
      <c r="M12" s="132">
        <f t="shared" si="1"/>
        <v>247657</v>
      </c>
      <c r="N12" s="132">
        <f t="shared" si="1"/>
        <v>1417820</v>
      </c>
    </row>
    <row r="13" spans="2:15" ht="34.5" customHeight="1" thickTop="1">
      <c r="B13" s="29" t="s">
        <v>9</v>
      </c>
      <c r="C13" s="30" t="s">
        <v>11</v>
      </c>
      <c r="D13" s="31">
        <v>602308</v>
      </c>
      <c r="E13" s="31">
        <v>602308</v>
      </c>
      <c r="F13" s="31">
        <v>437757</v>
      </c>
      <c r="G13" s="31">
        <v>0</v>
      </c>
      <c r="H13" s="31">
        <v>152697</v>
      </c>
      <c r="I13" s="74">
        <f>SUM(F13:H13)</f>
        <v>590454</v>
      </c>
      <c r="J13" s="81">
        <f t="shared" ref="J13:J101" si="2">I13/E13*100</f>
        <v>98.031903942833225</v>
      </c>
      <c r="K13" s="107">
        <f>419030+58401</f>
        <v>477431</v>
      </c>
      <c r="L13" s="107">
        <v>0</v>
      </c>
      <c r="M13" s="107">
        <f>147694+20583</f>
        <v>168277</v>
      </c>
      <c r="N13" s="107">
        <f>SUM(K13:M13)</f>
        <v>645708</v>
      </c>
    </row>
    <row r="14" spans="2:15" ht="22.5" customHeight="1">
      <c r="B14" s="14" t="s">
        <v>14</v>
      </c>
      <c r="C14" s="18" t="s">
        <v>15</v>
      </c>
      <c r="D14" s="19">
        <v>45023</v>
      </c>
      <c r="E14" s="19">
        <v>61333</v>
      </c>
      <c r="F14" s="16">
        <v>0</v>
      </c>
      <c r="G14" s="16">
        <v>0</v>
      </c>
      <c r="H14" s="16">
        <v>67464</v>
      </c>
      <c r="I14" s="71">
        <f t="shared" ref="I14:I22" si="3">SUM(F14:H14)</f>
        <v>67464</v>
      </c>
      <c r="J14" s="79">
        <f t="shared" si="2"/>
        <v>109.99624997961945</v>
      </c>
      <c r="K14" s="108">
        <v>0</v>
      </c>
      <c r="L14" s="107">
        <v>0</v>
      </c>
      <c r="M14" s="108">
        <f>26255+12240</f>
        <v>38495</v>
      </c>
      <c r="N14" s="107">
        <f t="shared" ref="N14:N22" si="4">SUM(K14:M14)</f>
        <v>38495</v>
      </c>
    </row>
    <row r="15" spans="2:15" ht="22.5" customHeight="1">
      <c r="B15" s="14" t="s">
        <v>13</v>
      </c>
      <c r="C15" s="18" t="s">
        <v>12</v>
      </c>
      <c r="D15" s="16">
        <v>128039</v>
      </c>
      <c r="E15" s="16">
        <v>128039</v>
      </c>
      <c r="F15" s="16">
        <v>88343</v>
      </c>
      <c r="G15" s="16">
        <v>0</v>
      </c>
      <c r="H15" s="16">
        <v>40071</v>
      </c>
      <c r="I15" s="71">
        <f t="shared" si="3"/>
        <v>128414</v>
      </c>
      <c r="J15" s="79">
        <f t="shared" si="2"/>
        <v>100.29287951327331</v>
      </c>
      <c r="K15" s="108">
        <f>90983+5383+3203</f>
        <v>99569</v>
      </c>
      <c r="L15" s="107">
        <v>0</v>
      </c>
      <c r="M15" s="108">
        <f>5057+28446+6648</f>
        <v>40151</v>
      </c>
      <c r="N15" s="107">
        <f t="shared" si="4"/>
        <v>139720</v>
      </c>
    </row>
    <row r="16" spans="2:15" ht="22.5" customHeight="1">
      <c r="B16" s="14" t="s">
        <v>16</v>
      </c>
      <c r="C16" s="18" t="s">
        <v>17</v>
      </c>
      <c r="D16" s="16">
        <v>436308</v>
      </c>
      <c r="E16" s="16">
        <v>439451</v>
      </c>
      <c r="F16" s="16">
        <v>0</v>
      </c>
      <c r="G16" s="16">
        <v>540779</v>
      </c>
      <c r="H16" s="16">
        <v>0</v>
      </c>
      <c r="I16" s="71">
        <f t="shared" si="3"/>
        <v>540779</v>
      </c>
      <c r="J16" s="79">
        <f t="shared" si="2"/>
        <v>123.05786083090038</v>
      </c>
      <c r="K16" s="108">
        <v>0</v>
      </c>
      <c r="L16" s="108">
        <v>508563</v>
      </c>
      <c r="M16" s="108">
        <v>734</v>
      </c>
      <c r="N16" s="107">
        <f t="shared" si="4"/>
        <v>509297</v>
      </c>
    </row>
    <row r="17" spans="1:14" ht="22.5" customHeight="1">
      <c r="B17" s="14" t="s">
        <v>59</v>
      </c>
      <c r="C17" s="18" t="s">
        <v>60</v>
      </c>
      <c r="D17" s="16">
        <v>62000</v>
      </c>
      <c r="E17" s="16">
        <v>67310</v>
      </c>
      <c r="F17" s="16">
        <v>0</v>
      </c>
      <c r="G17" s="16">
        <v>60841</v>
      </c>
      <c r="H17" s="16">
        <v>0</v>
      </c>
      <c r="I17" s="71">
        <f t="shared" si="3"/>
        <v>60841</v>
      </c>
      <c r="J17" s="79">
        <f t="shared" si="2"/>
        <v>90.389243797355519</v>
      </c>
      <c r="K17" s="108">
        <v>0</v>
      </c>
      <c r="L17" s="108">
        <v>60000</v>
      </c>
      <c r="M17" s="108">
        <v>0</v>
      </c>
      <c r="N17" s="107">
        <f t="shared" si="4"/>
        <v>60000</v>
      </c>
    </row>
    <row r="18" spans="1:14" ht="22.5" customHeight="1">
      <c r="B18" s="20" t="s">
        <v>18</v>
      </c>
      <c r="C18" s="18" t="s">
        <v>19</v>
      </c>
      <c r="D18" s="16">
        <v>12000</v>
      </c>
      <c r="E18" s="16">
        <v>12000</v>
      </c>
      <c r="F18" s="16">
        <v>0</v>
      </c>
      <c r="G18" s="16">
        <v>11524</v>
      </c>
      <c r="H18" s="16">
        <v>0</v>
      </c>
      <c r="I18" s="71">
        <f t="shared" si="3"/>
        <v>11524</v>
      </c>
      <c r="J18" s="79">
        <f t="shared" si="2"/>
        <v>96.033333333333331</v>
      </c>
      <c r="K18" s="108">
        <v>0</v>
      </c>
      <c r="L18" s="108">
        <v>12000</v>
      </c>
      <c r="M18" s="108">
        <v>0</v>
      </c>
      <c r="N18" s="107">
        <f t="shared" si="4"/>
        <v>12000</v>
      </c>
    </row>
    <row r="19" spans="1:14" ht="22.5" customHeight="1">
      <c r="B19" s="20" t="s">
        <v>67</v>
      </c>
      <c r="C19" s="18" t="s">
        <v>24</v>
      </c>
      <c r="D19" s="16">
        <v>2100</v>
      </c>
      <c r="E19" s="16">
        <v>2720</v>
      </c>
      <c r="F19" s="16">
        <v>0</v>
      </c>
      <c r="G19" s="16">
        <v>4355</v>
      </c>
      <c r="H19" s="16">
        <v>0</v>
      </c>
      <c r="I19" s="71">
        <f t="shared" si="3"/>
        <v>4355</v>
      </c>
      <c r="J19" s="79">
        <f t="shared" si="2"/>
        <v>160.11029411764704</v>
      </c>
      <c r="K19" s="108">
        <v>0</v>
      </c>
      <c r="L19" s="108">
        <v>3100</v>
      </c>
      <c r="M19" s="108">
        <v>0</v>
      </c>
      <c r="N19" s="107">
        <f t="shared" si="4"/>
        <v>3100</v>
      </c>
    </row>
    <row r="20" spans="1:14" ht="22.5" customHeight="1">
      <c r="B20" s="20" t="s">
        <v>77</v>
      </c>
      <c r="C20" s="18" t="s">
        <v>26</v>
      </c>
      <c r="D20" s="16">
        <v>0</v>
      </c>
      <c r="E20" s="16">
        <v>0</v>
      </c>
      <c r="F20" s="16">
        <v>0</v>
      </c>
      <c r="G20" s="16">
        <v>500</v>
      </c>
      <c r="H20" s="16">
        <v>0</v>
      </c>
      <c r="I20" s="71">
        <f t="shared" si="3"/>
        <v>500</v>
      </c>
      <c r="J20" s="79"/>
      <c r="K20" s="108">
        <v>0</v>
      </c>
      <c r="L20" s="108">
        <v>500</v>
      </c>
      <c r="M20" s="108">
        <v>0</v>
      </c>
      <c r="N20" s="107">
        <f t="shared" si="4"/>
        <v>500</v>
      </c>
    </row>
    <row r="21" spans="1:14" ht="22.5" customHeight="1">
      <c r="B21" s="51" t="s">
        <v>20</v>
      </c>
      <c r="C21" s="52" t="s">
        <v>21</v>
      </c>
      <c r="D21" s="19">
        <v>12000</v>
      </c>
      <c r="E21" s="19">
        <v>12000</v>
      </c>
      <c r="F21" s="16">
        <v>0</v>
      </c>
      <c r="G21" s="19">
        <v>10052</v>
      </c>
      <c r="H21" s="16">
        <v>0</v>
      </c>
      <c r="I21" s="71">
        <f t="shared" si="3"/>
        <v>10052</v>
      </c>
      <c r="J21" s="79">
        <f t="shared" si="2"/>
        <v>83.766666666666666</v>
      </c>
      <c r="K21" s="108">
        <v>0</v>
      </c>
      <c r="L21" s="108">
        <v>9000</v>
      </c>
      <c r="M21" s="108">
        <v>0</v>
      </c>
      <c r="N21" s="107">
        <f t="shared" si="4"/>
        <v>9000</v>
      </c>
    </row>
    <row r="22" spans="1:14" ht="50.25" customHeight="1">
      <c r="B22" s="20" t="s">
        <v>61</v>
      </c>
      <c r="C22" s="18" t="s">
        <v>76</v>
      </c>
      <c r="D22" s="16">
        <v>49510</v>
      </c>
      <c r="E22" s="16">
        <v>28441</v>
      </c>
      <c r="F22" s="16">
        <v>0</v>
      </c>
      <c r="G22" s="16">
        <v>30214</v>
      </c>
      <c r="H22" s="16">
        <v>0</v>
      </c>
      <c r="I22" s="71">
        <f t="shared" si="3"/>
        <v>30214</v>
      </c>
      <c r="J22" s="79">
        <f t="shared" si="2"/>
        <v>106.23395801835377</v>
      </c>
      <c r="K22" s="108"/>
      <c r="L22" s="108"/>
      <c r="M22" s="108"/>
      <c r="N22" s="107">
        <f t="shared" si="4"/>
        <v>0</v>
      </c>
    </row>
    <row r="23" spans="1:14" ht="22.5" customHeight="1" thickBot="1">
      <c r="B23" s="32" t="s">
        <v>69</v>
      </c>
      <c r="C23" s="35"/>
      <c r="D23" s="35">
        <f t="shared" ref="D23:I23" si="5">D24+D25+D26+D28+D27+D29</f>
        <v>155622</v>
      </c>
      <c r="E23" s="35">
        <f t="shared" si="5"/>
        <v>154858</v>
      </c>
      <c r="F23" s="35">
        <f t="shared" si="5"/>
        <v>0</v>
      </c>
      <c r="G23" s="35">
        <f t="shared" si="5"/>
        <v>168581</v>
      </c>
      <c r="H23" s="35">
        <f t="shared" si="5"/>
        <v>0</v>
      </c>
      <c r="I23" s="35">
        <f t="shared" si="5"/>
        <v>168581</v>
      </c>
      <c r="J23" s="82">
        <f t="shared" si="2"/>
        <v>108.86166681734232</v>
      </c>
      <c r="K23" s="132">
        <f>K24+K25+K26+K27+K28+K29</f>
        <v>0</v>
      </c>
      <c r="L23" s="132">
        <f t="shared" ref="L23:N23" si="6">L24+L25+L26+L27+L28+L29</f>
        <v>155472</v>
      </c>
      <c r="M23" s="132">
        <f t="shared" si="6"/>
        <v>0</v>
      </c>
      <c r="N23" s="132">
        <f t="shared" si="6"/>
        <v>155472</v>
      </c>
    </row>
    <row r="24" spans="1:14" ht="22.5" customHeight="1" thickTop="1">
      <c r="B24" s="29" t="s">
        <v>14</v>
      </c>
      <c r="C24" s="37" t="s">
        <v>15</v>
      </c>
      <c r="D24" s="31">
        <v>123558</v>
      </c>
      <c r="E24" s="31">
        <v>122794</v>
      </c>
      <c r="F24" s="31">
        <v>0</v>
      </c>
      <c r="G24" s="31">
        <v>122260</v>
      </c>
      <c r="H24" s="31">
        <v>0</v>
      </c>
      <c r="I24" s="74">
        <f t="shared" ref="I24:I29" si="7">SUM(F24:H24)</f>
        <v>122260</v>
      </c>
      <c r="J24" s="81">
        <f t="shared" si="2"/>
        <v>99.565125331856606</v>
      </c>
      <c r="K24" s="107">
        <v>0</v>
      </c>
      <c r="L24" s="107">
        <v>123558</v>
      </c>
      <c r="M24" s="107">
        <v>0</v>
      </c>
      <c r="N24" s="107">
        <f>SUM(K24:M24)</f>
        <v>123558</v>
      </c>
    </row>
    <row r="25" spans="1:14" ht="22.5" customHeight="1">
      <c r="B25" s="14" t="s">
        <v>13</v>
      </c>
      <c r="C25" s="15" t="s">
        <v>12</v>
      </c>
      <c r="D25" s="16">
        <v>22364</v>
      </c>
      <c r="E25" s="16">
        <v>22364</v>
      </c>
      <c r="F25" s="16">
        <v>0</v>
      </c>
      <c r="G25" s="16">
        <v>21621</v>
      </c>
      <c r="H25" s="31">
        <v>0</v>
      </c>
      <c r="I25" s="74">
        <f t="shared" si="7"/>
        <v>21621</v>
      </c>
      <c r="J25" s="79">
        <f t="shared" si="2"/>
        <v>96.677696297621168</v>
      </c>
      <c r="K25" s="107">
        <v>0</v>
      </c>
      <c r="L25" s="108">
        <v>22364</v>
      </c>
      <c r="M25" s="107">
        <v>0</v>
      </c>
      <c r="N25" s="107">
        <f t="shared" ref="N25:N29" si="8">SUM(K25:M25)</f>
        <v>22364</v>
      </c>
    </row>
    <row r="26" spans="1:14" ht="22.5" customHeight="1">
      <c r="B26" s="14" t="s">
        <v>16</v>
      </c>
      <c r="C26" s="15" t="s">
        <v>17</v>
      </c>
      <c r="D26" s="16">
        <v>9700</v>
      </c>
      <c r="E26" s="16">
        <v>9700</v>
      </c>
      <c r="F26" s="16">
        <v>0</v>
      </c>
      <c r="G26" s="16">
        <v>23650</v>
      </c>
      <c r="H26" s="31">
        <v>0</v>
      </c>
      <c r="I26" s="74">
        <f t="shared" si="7"/>
        <v>23650</v>
      </c>
      <c r="J26" s="79">
        <f t="shared" si="2"/>
        <v>243.81443298969074</v>
      </c>
      <c r="K26" s="107">
        <v>0</v>
      </c>
      <c r="L26" s="108">
        <v>9000</v>
      </c>
      <c r="M26" s="107">
        <v>0</v>
      </c>
      <c r="N26" s="107">
        <f t="shared" si="8"/>
        <v>9000</v>
      </c>
    </row>
    <row r="27" spans="1:14" ht="22.5" customHeight="1">
      <c r="B27" s="60" t="s">
        <v>59</v>
      </c>
      <c r="C27" s="61" t="s">
        <v>60</v>
      </c>
      <c r="D27" s="16">
        <v>0</v>
      </c>
      <c r="E27" s="16">
        <v>0</v>
      </c>
      <c r="F27" s="16">
        <v>0</v>
      </c>
      <c r="G27" s="16">
        <v>40</v>
      </c>
      <c r="H27" s="31">
        <v>0</v>
      </c>
      <c r="I27" s="74">
        <f t="shared" si="7"/>
        <v>40</v>
      </c>
      <c r="J27" s="79"/>
      <c r="K27" s="107">
        <v>0</v>
      </c>
      <c r="L27" s="108">
        <v>0</v>
      </c>
      <c r="M27" s="107">
        <v>0</v>
      </c>
      <c r="N27" s="107">
        <f t="shared" si="8"/>
        <v>0</v>
      </c>
    </row>
    <row r="28" spans="1:14" ht="22.5" customHeight="1">
      <c r="B28" s="60" t="s">
        <v>18</v>
      </c>
      <c r="C28" s="61" t="s">
        <v>19</v>
      </c>
      <c r="D28" s="16">
        <v>0</v>
      </c>
      <c r="E28" s="16">
        <v>0</v>
      </c>
      <c r="F28" s="16">
        <v>0</v>
      </c>
      <c r="G28" s="16">
        <v>500</v>
      </c>
      <c r="H28" s="16">
        <v>0</v>
      </c>
      <c r="I28" s="71">
        <f t="shared" si="7"/>
        <v>500</v>
      </c>
      <c r="J28" s="79"/>
      <c r="K28" s="107">
        <v>0</v>
      </c>
      <c r="L28" s="108">
        <v>0</v>
      </c>
      <c r="M28" s="107">
        <v>0</v>
      </c>
      <c r="N28" s="107">
        <f t="shared" si="8"/>
        <v>0</v>
      </c>
    </row>
    <row r="29" spans="1:14" ht="22.5" customHeight="1">
      <c r="B29" s="60" t="s">
        <v>20</v>
      </c>
      <c r="C29" s="61" t="s">
        <v>21</v>
      </c>
      <c r="D29" s="64">
        <v>0</v>
      </c>
      <c r="E29" s="64">
        <v>0</v>
      </c>
      <c r="F29" s="64">
        <v>0</v>
      </c>
      <c r="G29" s="64">
        <v>510</v>
      </c>
      <c r="H29" s="64">
        <v>0</v>
      </c>
      <c r="I29" s="102">
        <f t="shared" si="7"/>
        <v>510</v>
      </c>
      <c r="J29" s="88"/>
      <c r="K29" s="107">
        <v>0</v>
      </c>
      <c r="L29" s="108">
        <v>550</v>
      </c>
      <c r="M29" s="107">
        <v>0</v>
      </c>
      <c r="N29" s="107">
        <f t="shared" si="8"/>
        <v>550</v>
      </c>
    </row>
    <row r="30" spans="1:14" ht="22.5" customHeight="1" thickBot="1">
      <c r="A30" s="3"/>
      <c r="B30" s="32" t="s">
        <v>75</v>
      </c>
      <c r="C30" s="39"/>
      <c r="D30" s="35">
        <v>0</v>
      </c>
      <c r="E30" s="35">
        <f>E32+E33+E34+E31</f>
        <v>18981</v>
      </c>
      <c r="F30" s="35">
        <f>F32+F33+F34+F31</f>
        <v>18981</v>
      </c>
      <c r="G30" s="35">
        <f t="shared" ref="G30:I30" si="9">G32+G33+G34+G31</f>
        <v>0</v>
      </c>
      <c r="H30" s="35">
        <f t="shared" si="9"/>
        <v>0</v>
      </c>
      <c r="I30" s="35">
        <f t="shared" si="9"/>
        <v>18981</v>
      </c>
      <c r="J30" s="82">
        <f t="shared" si="2"/>
        <v>100</v>
      </c>
      <c r="K30" s="132">
        <f>K31+K32+K33+K34</f>
        <v>0</v>
      </c>
      <c r="L30" s="132">
        <f t="shared" ref="L30:N30" si="10">L31+L32+L33+L34</f>
        <v>0</v>
      </c>
      <c r="M30" s="132">
        <f t="shared" si="10"/>
        <v>0</v>
      </c>
      <c r="N30" s="132">
        <f t="shared" si="10"/>
        <v>0</v>
      </c>
    </row>
    <row r="31" spans="1:14" ht="34.5" customHeight="1" thickTop="1">
      <c r="A31" s="3"/>
      <c r="B31" s="29" t="s">
        <v>9</v>
      </c>
      <c r="C31" s="37" t="s">
        <v>11</v>
      </c>
      <c r="D31" s="31">
        <v>0</v>
      </c>
      <c r="E31" s="31">
        <v>3345</v>
      </c>
      <c r="F31" s="31">
        <v>3345</v>
      </c>
      <c r="G31" s="31">
        <v>0</v>
      </c>
      <c r="H31" s="31">
        <v>0</v>
      </c>
      <c r="I31" s="31">
        <v>3345</v>
      </c>
      <c r="J31" s="81">
        <v>100</v>
      </c>
      <c r="K31" s="107">
        <v>0</v>
      </c>
      <c r="L31" s="107">
        <v>0</v>
      </c>
      <c r="M31" s="107">
        <v>0</v>
      </c>
      <c r="N31" s="107">
        <v>0</v>
      </c>
    </row>
    <row r="32" spans="1:14" ht="22.5" customHeight="1">
      <c r="A32" s="3"/>
      <c r="B32" s="29" t="s">
        <v>14</v>
      </c>
      <c r="C32" s="37" t="s">
        <v>15</v>
      </c>
      <c r="D32" s="31">
        <v>0</v>
      </c>
      <c r="E32" s="31">
        <v>10176</v>
      </c>
      <c r="F32" s="31">
        <v>10176</v>
      </c>
      <c r="G32" s="31">
        <v>0</v>
      </c>
      <c r="H32" s="31">
        <v>0</v>
      </c>
      <c r="I32" s="74">
        <f>SUM(F32:H32)</f>
        <v>10176</v>
      </c>
      <c r="J32" s="81">
        <f t="shared" si="2"/>
        <v>100</v>
      </c>
      <c r="K32" s="107">
        <v>0</v>
      </c>
      <c r="L32" s="107">
        <v>0</v>
      </c>
      <c r="M32" s="107">
        <v>0</v>
      </c>
      <c r="N32" s="107">
        <v>0</v>
      </c>
    </row>
    <row r="33" spans="1:14" ht="22.5" customHeight="1">
      <c r="A33" s="3"/>
      <c r="B33" s="14" t="s">
        <v>13</v>
      </c>
      <c r="C33" s="15" t="s">
        <v>12</v>
      </c>
      <c r="D33" s="16">
        <v>0</v>
      </c>
      <c r="E33" s="31">
        <v>3434</v>
      </c>
      <c r="F33" s="16">
        <v>3434</v>
      </c>
      <c r="G33" s="16">
        <v>0</v>
      </c>
      <c r="H33" s="31">
        <v>0</v>
      </c>
      <c r="I33" s="74">
        <f>SUM(F33:H33)</f>
        <v>3434</v>
      </c>
      <c r="J33" s="81">
        <f t="shared" si="2"/>
        <v>100</v>
      </c>
      <c r="K33" s="107">
        <v>0</v>
      </c>
      <c r="L33" s="107">
        <v>0</v>
      </c>
      <c r="M33" s="107">
        <v>0</v>
      </c>
      <c r="N33" s="107">
        <v>0</v>
      </c>
    </row>
    <row r="34" spans="1:14" ht="22.5" customHeight="1">
      <c r="A34" s="3"/>
      <c r="B34" s="14" t="s">
        <v>16</v>
      </c>
      <c r="C34" s="15" t="s">
        <v>17</v>
      </c>
      <c r="D34" s="16">
        <v>0</v>
      </c>
      <c r="E34" s="31">
        <v>2026</v>
      </c>
      <c r="F34" s="16">
        <v>2026</v>
      </c>
      <c r="G34" s="16">
        <v>0</v>
      </c>
      <c r="H34" s="31">
        <v>0</v>
      </c>
      <c r="I34" s="74">
        <f>SUM(F34:H34)</f>
        <v>2026</v>
      </c>
      <c r="J34" s="81">
        <f t="shared" si="2"/>
        <v>100</v>
      </c>
      <c r="K34" s="107">
        <v>0</v>
      </c>
      <c r="L34" s="107">
        <v>0</v>
      </c>
      <c r="M34" s="107">
        <v>0</v>
      </c>
      <c r="N34" s="107">
        <v>0</v>
      </c>
    </row>
    <row r="35" spans="1:14" s="1" customFormat="1" ht="36" customHeight="1">
      <c r="B35" s="50" t="s">
        <v>6</v>
      </c>
      <c r="C35" s="17"/>
      <c r="D35" s="27">
        <f t="shared" ref="D35:N35" si="11">D36</f>
        <v>145700</v>
      </c>
      <c r="E35" s="27">
        <f t="shared" si="11"/>
        <v>145700</v>
      </c>
      <c r="F35" s="27">
        <f t="shared" si="11"/>
        <v>112226</v>
      </c>
      <c r="G35" s="27">
        <v>0</v>
      </c>
      <c r="H35" s="27">
        <f t="shared" si="11"/>
        <v>0</v>
      </c>
      <c r="I35" s="27">
        <f t="shared" si="11"/>
        <v>112226</v>
      </c>
      <c r="J35" s="80">
        <f t="shared" si="2"/>
        <v>77.025394646533968</v>
      </c>
      <c r="K35" s="27">
        <f t="shared" si="11"/>
        <v>143651</v>
      </c>
      <c r="L35" s="27">
        <f t="shared" si="11"/>
        <v>0</v>
      </c>
      <c r="M35" s="27">
        <f t="shared" si="11"/>
        <v>3000</v>
      </c>
      <c r="N35" s="27">
        <f t="shared" si="11"/>
        <v>146651</v>
      </c>
    </row>
    <row r="36" spans="1:14" ht="22.5" customHeight="1" thickBot="1">
      <c r="B36" s="46" t="s">
        <v>56</v>
      </c>
      <c r="C36" s="70"/>
      <c r="D36" s="35">
        <f t="shared" ref="D36:I36" si="12">D37+D38+D39</f>
        <v>145700</v>
      </c>
      <c r="E36" s="35">
        <f t="shared" si="12"/>
        <v>145700</v>
      </c>
      <c r="F36" s="35">
        <f t="shared" si="12"/>
        <v>112226</v>
      </c>
      <c r="G36" s="35">
        <f t="shared" si="12"/>
        <v>0</v>
      </c>
      <c r="H36" s="35">
        <f t="shared" si="12"/>
        <v>0</v>
      </c>
      <c r="I36" s="35">
        <f t="shared" si="12"/>
        <v>112226</v>
      </c>
      <c r="J36" s="82">
        <f t="shared" si="2"/>
        <v>77.025394646533968</v>
      </c>
      <c r="K36" s="132">
        <f>K37+K38+K39+K40</f>
        <v>143651</v>
      </c>
      <c r="L36" s="132">
        <f t="shared" ref="L36:M36" si="13">L37+L38+L39+L40</f>
        <v>0</v>
      </c>
      <c r="M36" s="132">
        <f t="shared" si="13"/>
        <v>3000</v>
      </c>
      <c r="N36" s="132">
        <f>N37+N38+N39+N40</f>
        <v>146651</v>
      </c>
    </row>
    <row r="37" spans="1:14" ht="22.5" customHeight="1" thickTop="1">
      <c r="B37" s="69" t="s">
        <v>14</v>
      </c>
      <c r="C37" s="37" t="s">
        <v>15</v>
      </c>
      <c r="D37" s="31">
        <f>11942+51626</f>
        <v>63568</v>
      </c>
      <c r="E37" s="31">
        <f>11942+51626</f>
        <v>63568</v>
      </c>
      <c r="F37" s="31">
        <f>12600+63078</f>
        <v>75678</v>
      </c>
      <c r="G37" s="31">
        <v>0</v>
      </c>
      <c r="H37" s="31">
        <v>0</v>
      </c>
      <c r="I37" s="74">
        <f>SUM(F37:H37)</f>
        <v>75678</v>
      </c>
      <c r="J37" s="81">
        <f t="shared" si="2"/>
        <v>119.05046564309086</v>
      </c>
      <c r="K37" s="107">
        <v>77069</v>
      </c>
      <c r="L37" s="107">
        <v>0</v>
      </c>
      <c r="M37" s="107">
        <v>0</v>
      </c>
      <c r="N37" s="107">
        <f>SUM(K37:M37)</f>
        <v>77069</v>
      </c>
    </row>
    <row r="38" spans="1:14" ht="22.5" customHeight="1">
      <c r="B38" s="22" t="s">
        <v>13</v>
      </c>
      <c r="C38" s="15" t="s">
        <v>12</v>
      </c>
      <c r="D38" s="16">
        <f>378+9655</f>
        <v>10033</v>
      </c>
      <c r="E38" s="16">
        <f>378+9655</f>
        <v>10033</v>
      </c>
      <c r="F38" s="16">
        <f>1395+11886</f>
        <v>13281</v>
      </c>
      <c r="G38" s="16">
        <v>0</v>
      </c>
      <c r="H38" s="16">
        <v>0</v>
      </c>
      <c r="I38" s="71">
        <f>SUM(F38:H38)</f>
        <v>13281</v>
      </c>
      <c r="J38" s="79">
        <f t="shared" si="2"/>
        <v>132.37316854380546</v>
      </c>
      <c r="K38" s="108">
        <v>13846</v>
      </c>
      <c r="L38" s="107">
        <v>0</v>
      </c>
      <c r="M38" s="107">
        <v>0</v>
      </c>
      <c r="N38" s="107">
        <f t="shared" ref="N38:N40" si="14">SUM(K38:M38)</f>
        <v>13846</v>
      </c>
    </row>
    <row r="39" spans="1:14" ht="22.5" customHeight="1">
      <c r="B39" s="22" t="s">
        <v>16</v>
      </c>
      <c r="C39" s="15" t="s">
        <v>17</v>
      </c>
      <c r="D39" s="16">
        <f>50026+8099+13974</f>
        <v>72099</v>
      </c>
      <c r="E39" s="16">
        <f>50026+8099+13974</f>
        <v>72099</v>
      </c>
      <c r="F39" s="16">
        <f>19773+638+2856</f>
        <v>23267</v>
      </c>
      <c r="G39" s="16">
        <v>0</v>
      </c>
      <c r="H39" s="16">
        <v>0</v>
      </c>
      <c r="I39" s="71">
        <f>SUM(F39:H39)</f>
        <v>23267</v>
      </c>
      <c r="J39" s="79">
        <f t="shared" si="2"/>
        <v>32.270905283013633</v>
      </c>
      <c r="K39" s="108">
        <v>52736</v>
      </c>
      <c r="L39" s="107">
        <v>0</v>
      </c>
      <c r="M39" s="107">
        <v>0</v>
      </c>
      <c r="N39" s="107">
        <f t="shared" si="14"/>
        <v>52736</v>
      </c>
    </row>
    <row r="40" spans="1:14" ht="22.5" customHeight="1">
      <c r="B40" s="22" t="s">
        <v>61</v>
      </c>
      <c r="C40" s="15" t="s">
        <v>100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71">
        <v>0</v>
      </c>
      <c r="J40" s="79"/>
      <c r="K40" s="108">
        <v>0</v>
      </c>
      <c r="L40" s="107">
        <v>0</v>
      </c>
      <c r="M40" s="107">
        <v>3000</v>
      </c>
      <c r="N40" s="107">
        <f t="shared" si="14"/>
        <v>3000</v>
      </c>
    </row>
    <row r="41" spans="1:14" s="1" customFormat="1" ht="36" customHeight="1">
      <c r="B41" s="50" t="s">
        <v>7</v>
      </c>
      <c r="C41" s="17"/>
      <c r="D41" s="56">
        <f t="shared" ref="D41:N41" si="15">D42+D49+D71+D57+D66</f>
        <v>4665989</v>
      </c>
      <c r="E41" s="56">
        <f t="shared" si="15"/>
        <v>5122143</v>
      </c>
      <c r="F41" s="56">
        <f t="shared" si="15"/>
        <v>4568940</v>
      </c>
      <c r="G41" s="56">
        <f t="shared" si="15"/>
        <v>247482</v>
      </c>
      <c r="H41" s="56">
        <f t="shared" si="15"/>
        <v>151758</v>
      </c>
      <c r="I41" s="56">
        <f t="shared" si="15"/>
        <v>4968180</v>
      </c>
      <c r="J41" s="80">
        <f t="shared" si="2"/>
        <v>96.994168261214114</v>
      </c>
      <c r="K41" s="56">
        <f t="shared" si="15"/>
        <v>5308562</v>
      </c>
      <c r="L41" s="56">
        <f t="shared" si="15"/>
        <v>245000</v>
      </c>
      <c r="M41" s="56">
        <f t="shared" si="15"/>
        <v>187670</v>
      </c>
      <c r="N41" s="56">
        <f t="shared" si="15"/>
        <v>5741232</v>
      </c>
    </row>
    <row r="42" spans="1:14" ht="22.5" customHeight="1" thickBot="1">
      <c r="B42" s="32" t="s">
        <v>82</v>
      </c>
      <c r="C42" s="39"/>
      <c r="D42" s="40">
        <f>D43+D45+D46+D44+D48</f>
        <v>1121160</v>
      </c>
      <c r="E42" s="40">
        <f>E43+E45+E46+E44+E48+E47</f>
        <v>1225968</v>
      </c>
      <c r="F42" s="40">
        <f>F43+F45+F46+F44+F48+F47</f>
        <v>942928</v>
      </c>
      <c r="G42" s="40">
        <f>G43+G45+G46+G44+G48+G47</f>
        <v>247482</v>
      </c>
      <c r="H42" s="40">
        <f>H43+H45+H46+H44+H48+H47</f>
        <v>0</v>
      </c>
      <c r="I42" s="40">
        <f>I43+I45+I46+I44+I48+I47</f>
        <v>1190410</v>
      </c>
      <c r="J42" s="82">
        <f t="shared" si="2"/>
        <v>97.099598031922525</v>
      </c>
      <c r="K42" s="132">
        <f>K43+K44+K45+K46+K47+K48</f>
        <v>5276566</v>
      </c>
      <c r="L42" s="132">
        <f t="shared" ref="L42:N42" si="16">L43+L44+L45+L46+L47+L48</f>
        <v>245000</v>
      </c>
      <c r="M42" s="132">
        <f t="shared" si="16"/>
        <v>0</v>
      </c>
      <c r="N42" s="132">
        <f t="shared" si="16"/>
        <v>5521566</v>
      </c>
    </row>
    <row r="43" spans="1:14" ht="34.5" customHeight="1" thickTop="1">
      <c r="B43" s="29" t="s">
        <v>9</v>
      </c>
      <c r="C43" s="30" t="s">
        <v>11</v>
      </c>
      <c r="D43" s="38">
        <v>637801</v>
      </c>
      <c r="E43" s="38">
        <v>682900</v>
      </c>
      <c r="F43" s="38">
        <v>676999</v>
      </c>
      <c r="G43" s="38">
        <v>0</v>
      </c>
      <c r="H43" s="38">
        <v>0</v>
      </c>
      <c r="I43" s="83">
        <f t="shared" ref="I43:I48" si="17">SUM(F43:H43)</f>
        <v>676999</v>
      </c>
      <c r="J43" s="81">
        <f t="shared" si="2"/>
        <v>99.135891052862789</v>
      </c>
      <c r="K43" s="107">
        <v>5276566</v>
      </c>
      <c r="L43" s="107"/>
      <c r="M43" s="107"/>
      <c r="N43" s="107">
        <f>SUM(K43:M43)</f>
        <v>5276566</v>
      </c>
    </row>
    <row r="44" spans="1:14" ht="22.5" customHeight="1">
      <c r="B44" s="14" t="s">
        <v>14</v>
      </c>
      <c r="C44" s="18" t="s">
        <v>15</v>
      </c>
      <c r="D44" s="23">
        <v>53226</v>
      </c>
      <c r="E44" s="23">
        <v>90639</v>
      </c>
      <c r="F44" s="23">
        <v>77826</v>
      </c>
      <c r="G44" s="23">
        <v>0</v>
      </c>
      <c r="H44" s="23">
        <v>0</v>
      </c>
      <c r="I44" s="75">
        <f t="shared" si="17"/>
        <v>77826</v>
      </c>
      <c r="J44" s="79">
        <f t="shared" si="2"/>
        <v>85.863701055836898</v>
      </c>
      <c r="K44" s="108"/>
      <c r="L44" s="108"/>
      <c r="M44" s="108"/>
      <c r="N44" s="107"/>
    </row>
    <row r="45" spans="1:14" ht="22.5" customHeight="1">
      <c r="B45" s="14" t="s">
        <v>13</v>
      </c>
      <c r="C45" s="18" t="s">
        <v>12</v>
      </c>
      <c r="D45" s="23">
        <v>156126</v>
      </c>
      <c r="E45" s="23">
        <v>157142</v>
      </c>
      <c r="F45" s="23">
        <v>149377</v>
      </c>
      <c r="G45" s="23">
        <v>0</v>
      </c>
      <c r="H45" s="23">
        <v>0</v>
      </c>
      <c r="I45" s="75">
        <f t="shared" si="17"/>
        <v>149377</v>
      </c>
      <c r="J45" s="79">
        <f t="shared" si="2"/>
        <v>95.058609410596787</v>
      </c>
      <c r="K45" s="108"/>
      <c r="L45" s="108"/>
      <c r="M45" s="108"/>
      <c r="N45" s="107"/>
    </row>
    <row r="46" spans="1:14" ht="22.5" customHeight="1">
      <c r="B46" s="14" t="s">
        <v>16</v>
      </c>
      <c r="C46" s="18" t="s">
        <v>17</v>
      </c>
      <c r="D46" s="23">
        <v>274007</v>
      </c>
      <c r="E46" s="23">
        <v>267287</v>
      </c>
      <c r="F46" s="23">
        <v>22999</v>
      </c>
      <c r="G46" s="23">
        <v>235210</v>
      </c>
      <c r="H46" s="23">
        <v>0</v>
      </c>
      <c r="I46" s="75">
        <f t="shared" si="17"/>
        <v>258209</v>
      </c>
      <c r="J46" s="79">
        <f t="shared" si="2"/>
        <v>96.603650757425541</v>
      </c>
      <c r="K46" s="108"/>
      <c r="L46" s="108">
        <v>245000</v>
      </c>
      <c r="M46" s="108"/>
      <c r="N46" s="107">
        <f>SUM(K46:M46)</f>
        <v>245000</v>
      </c>
    </row>
    <row r="47" spans="1:14" ht="22.5" customHeight="1">
      <c r="B47" s="60" t="s">
        <v>59</v>
      </c>
      <c r="C47" s="65" t="s">
        <v>60</v>
      </c>
      <c r="D47" s="66">
        <v>0</v>
      </c>
      <c r="E47" s="66">
        <v>473</v>
      </c>
      <c r="F47" s="66">
        <v>0</v>
      </c>
      <c r="G47" s="66">
        <v>473</v>
      </c>
      <c r="H47" s="66">
        <v>0</v>
      </c>
      <c r="I47" s="75">
        <f t="shared" si="17"/>
        <v>473</v>
      </c>
      <c r="J47" s="79">
        <f t="shared" si="2"/>
        <v>100</v>
      </c>
      <c r="K47" s="108"/>
      <c r="L47" s="108"/>
      <c r="M47" s="108"/>
      <c r="N47" s="107"/>
    </row>
    <row r="48" spans="1:14" ht="22.5" customHeight="1">
      <c r="B48" s="60" t="s">
        <v>61</v>
      </c>
      <c r="C48" s="65" t="s">
        <v>62</v>
      </c>
      <c r="D48" s="66">
        <v>0</v>
      </c>
      <c r="E48" s="66">
        <v>27527</v>
      </c>
      <c r="F48" s="66">
        <v>15727</v>
      </c>
      <c r="G48" s="66">
        <v>11799</v>
      </c>
      <c r="H48" s="66">
        <v>0</v>
      </c>
      <c r="I48" s="75">
        <f t="shared" si="17"/>
        <v>27526</v>
      </c>
      <c r="J48" s="79">
        <f t="shared" si="2"/>
        <v>99.996367203109671</v>
      </c>
      <c r="K48" s="108"/>
      <c r="L48" s="108"/>
      <c r="M48" s="108"/>
      <c r="N48" s="107"/>
    </row>
    <row r="49" spans="2:14" ht="22.5" customHeight="1" thickBot="1">
      <c r="B49" s="32" t="s">
        <v>83</v>
      </c>
      <c r="C49" s="39"/>
      <c r="D49" s="40">
        <f>D50+D52+D53+D51+D55+D56+D54</f>
        <v>2435604</v>
      </c>
      <c r="E49" s="40">
        <f>E50+E51+E52+E53+E54+E55+E56</f>
        <v>2646522</v>
      </c>
      <c r="F49" s="40">
        <f>F50+F51+F52+F53+F54+F55+F56</f>
        <v>2570038</v>
      </c>
      <c r="G49" s="40">
        <f>G50+G51+G52+G53+G54+G55+G56</f>
        <v>0</v>
      </c>
      <c r="H49" s="40">
        <f>H50+H51+H52+H53+H54+H55+H56</f>
        <v>1450</v>
      </c>
      <c r="I49" s="40">
        <f>I50+I51+I52+I53+I54+I55+I56</f>
        <v>2571488</v>
      </c>
      <c r="J49" s="82">
        <f t="shared" si="2"/>
        <v>97.164807245131541</v>
      </c>
      <c r="K49" s="132">
        <f>K50+K51+K52+K53+K54+K55+K56</f>
        <v>31996</v>
      </c>
      <c r="L49" s="132">
        <f t="shared" ref="L49:N49" si="18">L50+L51+L52+L53+L54+L55+L56</f>
        <v>0</v>
      </c>
      <c r="M49" s="132">
        <f t="shared" si="18"/>
        <v>29000</v>
      </c>
      <c r="N49" s="132">
        <f t="shared" si="18"/>
        <v>60996</v>
      </c>
    </row>
    <row r="50" spans="2:14" ht="34.5" customHeight="1" thickTop="1">
      <c r="B50" s="29" t="s">
        <v>9</v>
      </c>
      <c r="C50" s="30" t="s">
        <v>11</v>
      </c>
      <c r="D50" s="38">
        <f>26300+1509965</f>
        <v>1536265</v>
      </c>
      <c r="E50" s="38">
        <f>24044+1650869</f>
        <v>1674913</v>
      </c>
      <c r="F50" s="38">
        <f>24925+1640191</f>
        <v>1665116</v>
      </c>
      <c r="G50" s="38">
        <v>0</v>
      </c>
      <c r="H50" s="38">
        <v>0</v>
      </c>
      <c r="I50" s="83">
        <f>SUM(F50:H50)</f>
        <v>1665116</v>
      </c>
      <c r="J50" s="81">
        <f t="shared" si="2"/>
        <v>99.415074096385908</v>
      </c>
      <c r="K50" s="107"/>
      <c r="L50" s="107"/>
      <c r="M50" s="107"/>
      <c r="N50" s="107"/>
    </row>
    <row r="51" spans="2:14" ht="22.5" customHeight="1">
      <c r="B51" s="14" t="s">
        <v>14</v>
      </c>
      <c r="C51" s="18" t="s">
        <v>15</v>
      </c>
      <c r="D51" s="23">
        <f>950+94389</f>
        <v>95339</v>
      </c>
      <c r="E51" s="23">
        <f>940+131194</f>
        <v>132134</v>
      </c>
      <c r="F51" s="23">
        <f>709+122633</f>
        <v>123342</v>
      </c>
      <c r="G51" s="23">
        <v>0</v>
      </c>
      <c r="H51" s="23">
        <v>0</v>
      </c>
      <c r="I51" s="75">
        <f t="shared" ref="I51:I56" si="19">SUM(F51:H51)</f>
        <v>123342</v>
      </c>
      <c r="J51" s="79">
        <f t="shared" si="2"/>
        <v>93.346148606717421</v>
      </c>
      <c r="K51" s="108"/>
      <c r="L51" s="108"/>
      <c r="M51" s="108"/>
      <c r="N51" s="108"/>
    </row>
    <row r="52" spans="2:14" ht="22.5" customHeight="1">
      <c r="B52" s="14" t="s">
        <v>13</v>
      </c>
      <c r="C52" s="18" t="s">
        <v>12</v>
      </c>
      <c r="D52" s="23">
        <f>5880+362768</f>
        <v>368648</v>
      </c>
      <c r="E52" s="23">
        <f>5506+372314</f>
        <v>377820</v>
      </c>
      <c r="F52" s="23">
        <f>5564+366617</f>
        <v>372181</v>
      </c>
      <c r="G52" s="23">
        <v>0</v>
      </c>
      <c r="H52" s="23">
        <v>0</v>
      </c>
      <c r="I52" s="75">
        <f t="shared" si="19"/>
        <v>372181</v>
      </c>
      <c r="J52" s="79">
        <f t="shared" si="2"/>
        <v>98.507490339315012</v>
      </c>
      <c r="K52" s="108"/>
      <c r="L52" s="108"/>
      <c r="M52" s="108"/>
      <c r="N52" s="108"/>
    </row>
    <row r="53" spans="2:14" ht="22.5" customHeight="1">
      <c r="B53" s="14" t="s">
        <v>16</v>
      </c>
      <c r="C53" s="18" t="s">
        <v>17</v>
      </c>
      <c r="D53" s="23">
        <f>4736+382283</f>
        <v>387019</v>
      </c>
      <c r="E53" s="23">
        <f>3081+418255</f>
        <v>421336</v>
      </c>
      <c r="F53" s="23">
        <f>3078+379373</f>
        <v>382451</v>
      </c>
      <c r="G53" s="23">
        <v>0</v>
      </c>
      <c r="H53" s="23">
        <v>0</v>
      </c>
      <c r="I53" s="75">
        <f t="shared" si="19"/>
        <v>382451</v>
      </c>
      <c r="J53" s="79">
        <f t="shared" si="2"/>
        <v>90.771023601116454</v>
      </c>
      <c r="K53" s="108"/>
      <c r="L53" s="108"/>
      <c r="M53" s="108"/>
      <c r="N53" s="108"/>
    </row>
    <row r="54" spans="2:14" ht="22.5" customHeight="1">
      <c r="B54" s="14" t="s">
        <v>59</v>
      </c>
      <c r="C54" s="18" t="s">
        <v>60</v>
      </c>
      <c r="D54" s="103">
        <v>330</v>
      </c>
      <c r="E54" s="76">
        <v>320</v>
      </c>
      <c r="F54" s="23">
        <v>237</v>
      </c>
      <c r="G54" s="23">
        <v>0</v>
      </c>
      <c r="H54" s="23">
        <v>0</v>
      </c>
      <c r="I54" s="75">
        <f t="shared" si="19"/>
        <v>237</v>
      </c>
      <c r="J54" s="79">
        <f t="shared" si="2"/>
        <v>74.0625</v>
      </c>
      <c r="K54" s="108"/>
      <c r="L54" s="108"/>
      <c r="M54" s="108"/>
      <c r="N54" s="108"/>
    </row>
    <row r="55" spans="2:14" ht="22.5" customHeight="1">
      <c r="B55" s="14" t="s">
        <v>22</v>
      </c>
      <c r="C55" s="18" t="s">
        <v>23</v>
      </c>
      <c r="D55" s="23">
        <v>6873</v>
      </c>
      <c r="E55" s="23">
        <v>7265</v>
      </c>
      <c r="F55" s="23">
        <v>6920</v>
      </c>
      <c r="G55" s="23">
        <v>0</v>
      </c>
      <c r="H55" s="23">
        <v>0</v>
      </c>
      <c r="I55" s="75">
        <f t="shared" si="19"/>
        <v>6920</v>
      </c>
      <c r="J55" s="79">
        <f t="shared" si="2"/>
        <v>95.251204404679967</v>
      </c>
      <c r="K55" s="108"/>
      <c r="L55" s="108"/>
      <c r="M55" s="108"/>
      <c r="N55" s="108"/>
    </row>
    <row r="56" spans="2:14" ht="34.5" customHeight="1">
      <c r="B56" s="60" t="s">
        <v>61</v>
      </c>
      <c r="C56" s="65" t="s">
        <v>78</v>
      </c>
      <c r="D56" s="66">
        <v>41130</v>
      </c>
      <c r="E56" s="66">
        <v>32734</v>
      </c>
      <c r="F56" s="66">
        <v>19791</v>
      </c>
      <c r="G56" s="66">
        <v>0</v>
      </c>
      <c r="H56" s="66">
        <v>1450</v>
      </c>
      <c r="I56" s="75">
        <f t="shared" si="19"/>
        <v>21241</v>
      </c>
      <c r="J56" s="79">
        <f t="shared" si="2"/>
        <v>64.889717113704407</v>
      </c>
      <c r="K56" s="108">
        <v>31996</v>
      </c>
      <c r="L56" s="108"/>
      <c r="M56" s="108">
        <v>29000</v>
      </c>
      <c r="N56" s="108">
        <f>SUM(K56:M56)</f>
        <v>60996</v>
      </c>
    </row>
    <row r="57" spans="2:14" ht="34.5" customHeight="1" thickBot="1">
      <c r="B57" s="32" t="s">
        <v>84</v>
      </c>
      <c r="C57" s="99"/>
      <c r="D57" s="40">
        <f>D58+D60+D61+D59+D63+D62+D65+D64</f>
        <v>909344</v>
      </c>
      <c r="E57" s="40">
        <f t="shared" ref="E57:I57" si="20">E58+E60+E61+E59+E63+E62+E65+E64</f>
        <v>1005605</v>
      </c>
      <c r="F57" s="40">
        <f t="shared" si="20"/>
        <v>981890</v>
      </c>
      <c r="G57" s="40">
        <f t="shared" si="20"/>
        <v>0</v>
      </c>
      <c r="H57" s="40">
        <f t="shared" si="20"/>
        <v>0</v>
      </c>
      <c r="I57" s="40">
        <f t="shared" si="20"/>
        <v>981890</v>
      </c>
      <c r="J57" s="82">
        <f t="shared" ref="J57:J66" si="21">I57/E57*100</f>
        <v>97.641718169659057</v>
      </c>
      <c r="K57" s="132">
        <f>K58+K59+K60+K61+K62+K63+K65+K66</f>
        <v>0</v>
      </c>
      <c r="L57" s="132">
        <f t="shared" ref="L57:N57" si="22">L58+L59+L60+L61+L62+L63+L65+L66</f>
        <v>0</v>
      </c>
      <c r="M57" s="132">
        <f t="shared" si="22"/>
        <v>16973</v>
      </c>
      <c r="N57" s="132">
        <f t="shared" si="22"/>
        <v>16973</v>
      </c>
    </row>
    <row r="58" spans="2:14" ht="32.25" customHeight="1" thickTop="1">
      <c r="B58" s="63" t="s">
        <v>9</v>
      </c>
      <c r="C58" s="91" t="s">
        <v>11</v>
      </c>
      <c r="D58" s="96">
        <v>536880</v>
      </c>
      <c r="E58" s="96">
        <v>560038</v>
      </c>
      <c r="F58" s="96">
        <v>547777</v>
      </c>
      <c r="G58" s="96">
        <v>0</v>
      </c>
      <c r="H58" s="96">
        <v>0</v>
      </c>
      <c r="I58" s="97">
        <f t="shared" ref="I58:I65" si="23">SUM(F58:H58)</f>
        <v>547777</v>
      </c>
      <c r="J58" s="98">
        <f t="shared" si="21"/>
        <v>97.810684274995623</v>
      </c>
      <c r="K58" s="107"/>
      <c r="L58" s="107"/>
      <c r="M58" s="107"/>
      <c r="N58" s="107"/>
    </row>
    <row r="59" spans="2:14" ht="23.25" customHeight="1">
      <c r="B59" s="60" t="s">
        <v>14</v>
      </c>
      <c r="C59" s="65" t="s">
        <v>15</v>
      </c>
      <c r="D59" s="66">
        <v>22860</v>
      </c>
      <c r="E59" s="66">
        <v>35265</v>
      </c>
      <c r="F59" s="66">
        <v>34911</v>
      </c>
      <c r="G59" s="66">
        <v>0</v>
      </c>
      <c r="H59" s="66">
        <v>0</v>
      </c>
      <c r="I59" s="95">
        <f t="shared" si="23"/>
        <v>34911</v>
      </c>
      <c r="J59" s="88">
        <f t="shared" si="21"/>
        <v>98.996171841769467</v>
      </c>
      <c r="K59" s="108"/>
      <c r="L59" s="108"/>
      <c r="M59" s="108"/>
      <c r="N59" s="108"/>
    </row>
    <row r="60" spans="2:14" ht="23.25" customHeight="1">
      <c r="B60" s="60" t="s">
        <v>13</v>
      </c>
      <c r="C60" s="65" t="s">
        <v>12</v>
      </c>
      <c r="D60" s="66">
        <v>118670</v>
      </c>
      <c r="E60" s="66">
        <v>126100</v>
      </c>
      <c r="F60" s="66">
        <v>123078</v>
      </c>
      <c r="G60" s="66">
        <v>0</v>
      </c>
      <c r="H60" s="66">
        <v>0</v>
      </c>
      <c r="I60" s="95">
        <f t="shared" si="23"/>
        <v>123078</v>
      </c>
      <c r="J60" s="88">
        <f t="shared" si="21"/>
        <v>97.603489294210945</v>
      </c>
      <c r="K60" s="108"/>
      <c r="L60" s="108"/>
      <c r="M60" s="108"/>
      <c r="N60" s="108"/>
    </row>
    <row r="61" spans="2:14" ht="23.25" customHeight="1">
      <c r="B61" s="60" t="s">
        <v>16</v>
      </c>
      <c r="C61" s="65" t="s">
        <v>17</v>
      </c>
      <c r="D61" s="66">
        <v>201077</v>
      </c>
      <c r="E61" s="66">
        <v>247300</v>
      </c>
      <c r="F61" s="66">
        <v>243336</v>
      </c>
      <c r="G61" s="66">
        <v>0</v>
      </c>
      <c r="H61" s="66">
        <v>0</v>
      </c>
      <c r="I61" s="95">
        <f t="shared" si="23"/>
        <v>243336</v>
      </c>
      <c r="J61" s="88">
        <f t="shared" si="21"/>
        <v>98.397088556409216</v>
      </c>
      <c r="K61" s="108"/>
      <c r="L61" s="108"/>
      <c r="M61" s="108">
        <v>16973</v>
      </c>
      <c r="N61" s="108">
        <f>SUM(K61:M61)</f>
        <v>16973</v>
      </c>
    </row>
    <row r="62" spans="2:14" ht="23.25" customHeight="1">
      <c r="B62" s="60" t="s">
        <v>59</v>
      </c>
      <c r="C62" s="65" t="s">
        <v>60</v>
      </c>
      <c r="D62" s="66">
        <v>1050</v>
      </c>
      <c r="E62" s="66">
        <v>-7378</v>
      </c>
      <c r="F62" s="66">
        <v>-7550</v>
      </c>
      <c r="G62" s="66">
        <v>0</v>
      </c>
      <c r="H62" s="66">
        <v>0</v>
      </c>
      <c r="I62" s="95">
        <f t="shared" si="23"/>
        <v>-7550</v>
      </c>
      <c r="J62" s="88">
        <f t="shared" si="21"/>
        <v>102.33125508267824</v>
      </c>
      <c r="K62" s="108"/>
      <c r="L62" s="108"/>
      <c r="M62" s="108"/>
      <c r="N62" s="108"/>
    </row>
    <row r="63" spans="2:14" ht="23.25" customHeight="1">
      <c r="B63" s="60" t="s">
        <v>22</v>
      </c>
      <c r="C63" s="65" t="s">
        <v>23</v>
      </c>
      <c r="D63" s="66">
        <v>28807</v>
      </c>
      <c r="E63" s="66">
        <v>30622</v>
      </c>
      <c r="F63" s="66">
        <v>26970</v>
      </c>
      <c r="G63" s="66">
        <v>0</v>
      </c>
      <c r="H63" s="66">
        <v>0</v>
      </c>
      <c r="I63" s="95">
        <f t="shared" si="23"/>
        <v>26970</v>
      </c>
      <c r="J63" s="88">
        <f t="shared" si="21"/>
        <v>88.073933773104301</v>
      </c>
      <c r="K63" s="108"/>
      <c r="L63" s="108"/>
      <c r="M63" s="108"/>
      <c r="N63" s="108"/>
    </row>
    <row r="64" spans="2:14" ht="23.25" customHeight="1">
      <c r="B64" s="60" t="s">
        <v>67</v>
      </c>
      <c r="C64" s="65" t="s">
        <v>24</v>
      </c>
      <c r="D64" s="66">
        <v>0</v>
      </c>
      <c r="E64" s="66">
        <v>290</v>
      </c>
      <c r="F64" s="66">
        <v>0</v>
      </c>
      <c r="G64" s="66">
        <v>0</v>
      </c>
      <c r="H64" s="66">
        <v>0</v>
      </c>
      <c r="I64" s="95">
        <f t="shared" si="23"/>
        <v>0</v>
      </c>
      <c r="J64" s="88">
        <f t="shared" si="21"/>
        <v>0</v>
      </c>
      <c r="K64" s="108"/>
      <c r="L64" s="108"/>
      <c r="M64" s="108"/>
      <c r="N64" s="108"/>
    </row>
    <row r="65" spans="1:14" ht="23.25" customHeight="1">
      <c r="B65" s="60" t="s">
        <v>61</v>
      </c>
      <c r="C65" s="65" t="s">
        <v>70</v>
      </c>
      <c r="D65" s="66">
        <v>0</v>
      </c>
      <c r="E65" s="66">
        <v>13368</v>
      </c>
      <c r="F65" s="66">
        <v>13368</v>
      </c>
      <c r="G65" s="66">
        <v>0</v>
      </c>
      <c r="H65" s="66">
        <v>0</v>
      </c>
      <c r="I65" s="95">
        <f t="shared" si="23"/>
        <v>13368</v>
      </c>
      <c r="J65" s="88">
        <f t="shared" si="21"/>
        <v>100</v>
      </c>
      <c r="K65" s="108"/>
      <c r="L65" s="108"/>
      <c r="M65" s="108"/>
      <c r="N65" s="108"/>
    </row>
    <row r="66" spans="1:14" ht="23.25" customHeight="1" thickBot="1">
      <c r="B66" s="32" t="s">
        <v>86</v>
      </c>
      <c r="C66" s="99"/>
      <c r="D66" s="40">
        <f t="shared" ref="D66:I66" si="24">D67+D69+D70+D68</f>
        <v>76176</v>
      </c>
      <c r="E66" s="40">
        <f t="shared" si="24"/>
        <v>76176</v>
      </c>
      <c r="F66" s="40">
        <f t="shared" si="24"/>
        <v>76176</v>
      </c>
      <c r="G66" s="40">
        <f t="shared" si="24"/>
        <v>0</v>
      </c>
      <c r="H66" s="40">
        <f t="shared" si="24"/>
        <v>0</v>
      </c>
      <c r="I66" s="40">
        <f t="shared" si="24"/>
        <v>76176</v>
      </c>
      <c r="J66" s="82">
        <f t="shared" si="21"/>
        <v>100</v>
      </c>
      <c r="K66" s="132">
        <f>K67+K68+K69+K70</f>
        <v>0</v>
      </c>
      <c r="L66" s="132">
        <f t="shared" ref="L66:N66" si="25">L67+L68+L69+L70</f>
        <v>0</v>
      </c>
      <c r="M66" s="132">
        <f t="shared" si="25"/>
        <v>0</v>
      </c>
      <c r="N66" s="132">
        <f t="shared" si="25"/>
        <v>0</v>
      </c>
    </row>
    <row r="67" spans="1:14" ht="32.25" customHeight="1" thickTop="1">
      <c r="B67" s="63" t="s">
        <v>9</v>
      </c>
      <c r="C67" s="91" t="s">
        <v>11</v>
      </c>
      <c r="D67" s="96">
        <v>30340</v>
      </c>
      <c r="E67" s="96">
        <v>33550</v>
      </c>
      <c r="F67" s="96">
        <v>33550</v>
      </c>
      <c r="G67" s="96">
        <v>0</v>
      </c>
      <c r="H67" s="96">
        <v>0</v>
      </c>
      <c r="I67" s="97">
        <f>SUM(F67:H67)</f>
        <v>33550</v>
      </c>
      <c r="J67" s="98">
        <f>I67/E67*100</f>
        <v>100</v>
      </c>
      <c r="K67" s="107"/>
      <c r="L67" s="107"/>
      <c r="M67" s="107"/>
      <c r="N67" s="107"/>
    </row>
    <row r="68" spans="1:14" ht="23.25" customHeight="1">
      <c r="B68" s="60" t="s">
        <v>14</v>
      </c>
      <c r="C68" s="65" t="s">
        <v>15</v>
      </c>
      <c r="D68" s="66">
        <v>1300</v>
      </c>
      <c r="E68" s="66">
        <v>1532</v>
      </c>
      <c r="F68" s="66">
        <v>1532</v>
      </c>
      <c r="G68" s="66">
        <v>0</v>
      </c>
      <c r="H68" s="66">
        <v>0</v>
      </c>
      <c r="I68" s="95">
        <f>SUM(F68:H68)</f>
        <v>1532</v>
      </c>
      <c r="J68" s="88">
        <f>I68/E68*100</f>
        <v>100</v>
      </c>
      <c r="K68" s="108"/>
      <c r="L68" s="108"/>
      <c r="M68" s="108"/>
      <c r="N68" s="108"/>
    </row>
    <row r="69" spans="1:14" ht="23.25" customHeight="1">
      <c r="B69" s="60" t="s">
        <v>13</v>
      </c>
      <c r="C69" s="65" t="s">
        <v>12</v>
      </c>
      <c r="D69" s="66">
        <v>6630</v>
      </c>
      <c r="E69" s="66">
        <v>7501</v>
      </c>
      <c r="F69" s="66">
        <v>7501</v>
      </c>
      <c r="G69" s="66">
        <v>0</v>
      </c>
      <c r="H69" s="66">
        <v>0</v>
      </c>
      <c r="I69" s="95">
        <f>SUM(F69:H69)</f>
        <v>7501</v>
      </c>
      <c r="J69" s="88">
        <f>I69/E69*100</f>
        <v>100</v>
      </c>
      <c r="K69" s="108"/>
      <c r="L69" s="108"/>
      <c r="M69" s="108"/>
      <c r="N69" s="108"/>
    </row>
    <row r="70" spans="1:14" ht="23.25" customHeight="1">
      <c r="B70" s="60" t="s">
        <v>16</v>
      </c>
      <c r="C70" s="65" t="s">
        <v>17</v>
      </c>
      <c r="D70" s="66">
        <v>37906</v>
      </c>
      <c r="E70" s="66">
        <v>33593</v>
      </c>
      <c r="F70" s="66">
        <v>33593</v>
      </c>
      <c r="G70" s="66">
        <v>0</v>
      </c>
      <c r="H70" s="66">
        <v>0</v>
      </c>
      <c r="I70" s="95">
        <f>SUM(F70:H70)</f>
        <v>33593</v>
      </c>
      <c r="J70" s="88">
        <f>I70/E70*100</f>
        <v>100</v>
      </c>
      <c r="K70" s="108"/>
      <c r="L70" s="108"/>
      <c r="M70" s="108"/>
      <c r="N70" s="108"/>
    </row>
    <row r="71" spans="1:14" s="3" customFormat="1" ht="22.5" customHeight="1" thickBot="1">
      <c r="B71" s="32" t="s">
        <v>85</v>
      </c>
      <c r="C71" s="35"/>
      <c r="D71" s="40">
        <f>D75+D72+D74+D73+D76</f>
        <v>123705</v>
      </c>
      <c r="E71" s="40">
        <f>E75+E72+E74+E73+E76</f>
        <v>167872</v>
      </c>
      <c r="F71" s="40">
        <f>F75+F72+F74+F73+F76</f>
        <v>-2092</v>
      </c>
      <c r="G71" s="40">
        <f>G75+G72+G74+G73+G76</f>
        <v>0</v>
      </c>
      <c r="H71" s="40">
        <f>H75+H72+H73+H74+H76</f>
        <v>150308</v>
      </c>
      <c r="I71" s="40">
        <f>I75+I72+I73+I74+I76</f>
        <v>148216</v>
      </c>
      <c r="J71" s="82">
        <f t="shared" si="2"/>
        <v>88.291078917270312</v>
      </c>
      <c r="K71" s="133">
        <f>K72+K73+K74+K75+K76</f>
        <v>0</v>
      </c>
      <c r="L71" s="133">
        <f t="shared" ref="L71:N71" si="26">L72+L73+L74+L75+L76</f>
        <v>0</v>
      </c>
      <c r="M71" s="133">
        <f t="shared" si="26"/>
        <v>141697</v>
      </c>
      <c r="N71" s="133">
        <f t="shared" si="26"/>
        <v>141697</v>
      </c>
    </row>
    <row r="72" spans="1:14" s="3" customFormat="1" ht="34.5" customHeight="1" thickTop="1">
      <c r="B72" s="29" t="s">
        <v>9</v>
      </c>
      <c r="C72" s="37" t="s">
        <v>11</v>
      </c>
      <c r="D72" s="38">
        <v>33619</v>
      </c>
      <c r="E72" s="38">
        <v>33619</v>
      </c>
      <c r="F72" s="38">
        <v>0</v>
      </c>
      <c r="G72" s="38">
        <v>0</v>
      </c>
      <c r="H72" s="38">
        <v>35794</v>
      </c>
      <c r="I72" s="84">
        <f>SUM(F72:H72)</f>
        <v>35794</v>
      </c>
      <c r="J72" s="81">
        <f t="shared" si="2"/>
        <v>106.46955590588657</v>
      </c>
      <c r="K72" s="111">
        <v>0</v>
      </c>
      <c r="L72" s="111">
        <v>0</v>
      </c>
      <c r="M72" s="111">
        <v>47393</v>
      </c>
      <c r="N72" s="111">
        <f>SUM(K72:M72)</f>
        <v>47393</v>
      </c>
    </row>
    <row r="73" spans="1:14" s="3" customFormat="1" ht="22.5" customHeight="1">
      <c r="B73" s="14" t="s">
        <v>14</v>
      </c>
      <c r="C73" s="15" t="s">
        <v>15</v>
      </c>
      <c r="D73" s="23">
        <v>0</v>
      </c>
      <c r="E73" s="23">
        <v>799</v>
      </c>
      <c r="F73" s="23">
        <v>0</v>
      </c>
      <c r="G73" s="38">
        <v>0</v>
      </c>
      <c r="H73" s="23">
        <v>1071</v>
      </c>
      <c r="I73" s="77">
        <f>SUM(F73:H73)</f>
        <v>1071</v>
      </c>
      <c r="J73" s="79"/>
      <c r="K73" s="111">
        <v>0</v>
      </c>
      <c r="L73" s="111">
        <v>0</v>
      </c>
      <c r="M73" s="110">
        <v>0</v>
      </c>
      <c r="N73" s="111">
        <f t="shared" ref="N73:N76" si="27">SUM(K73:M73)</f>
        <v>0</v>
      </c>
    </row>
    <row r="74" spans="1:14" s="3" customFormat="1" ht="22.5" customHeight="1">
      <c r="B74" s="14" t="s">
        <v>13</v>
      </c>
      <c r="C74" s="15" t="s">
        <v>12</v>
      </c>
      <c r="D74" s="23">
        <v>6287</v>
      </c>
      <c r="E74" s="23">
        <v>6287</v>
      </c>
      <c r="F74" s="23">
        <v>0</v>
      </c>
      <c r="G74" s="38">
        <v>0</v>
      </c>
      <c r="H74" s="23">
        <v>6915</v>
      </c>
      <c r="I74" s="77">
        <f>SUM(F74:H74)</f>
        <v>6915</v>
      </c>
      <c r="J74" s="79">
        <f t="shared" si="2"/>
        <v>109.98886591379036</v>
      </c>
      <c r="K74" s="111">
        <v>0</v>
      </c>
      <c r="L74" s="111">
        <v>0</v>
      </c>
      <c r="M74" s="110">
        <v>9128</v>
      </c>
      <c r="N74" s="111">
        <f t="shared" si="27"/>
        <v>9128</v>
      </c>
    </row>
    <row r="75" spans="1:14" s="3" customFormat="1" ht="22.5" customHeight="1">
      <c r="B75" s="14" t="s">
        <v>16</v>
      </c>
      <c r="C75" s="15" t="s">
        <v>17</v>
      </c>
      <c r="D75" s="23">
        <v>80799</v>
      </c>
      <c r="E75" s="23">
        <v>123271</v>
      </c>
      <c r="F75" s="23">
        <v>-2092</v>
      </c>
      <c r="G75" s="38">
        <v>0</v>
      </c>
      <c r="H75" s="23">
        <v>102475</v>
      </c>
      <c r="I75" s="77">
        <f>SUM(F75:H75)</f>
        <v>100383</v>
      </c>
      <c r="J75" s="79">
        <f t="shared" si="2"/>
        <v>81.432778187894968</v>
      </c>
      <c r="K75" s="111">
        <v>0</v>
      </c>
      <c r="L75" s="111">
        <v>0</v>
      </c>
      <c r="M75" s="110">
        <f>80000+1116</f>
        <v>81116</v>
      </c>
      <c r="N75" s="111">
        <f t="shared" si="27"/>
        <v>81116</v>
      </c>
    </row>
    <row r="76" spans="1:14" s="3" customFormat="1" ht="22.5" customHeight="1">
      <c r="B76" s="14" t="s">
        <v>59</v>
      </c>
      <c r="C76" s="15" t="s">
        <v>60</v>
      </c>
      <c r="D76" s="23">
        <v>3000</v>
      </c>
      <c r="E76" s="23">
        <v>3896</v>
      </c>
      <c r="F76" s="23">
        <v>0</v>
      </c>
      <c r="G76" s="38">
        <v>0</v>
      </c>
      <c r="H76" s="23">
        <v>4053</v>
      </c>
      <c r="I76" s="77">
        <f>SUM(F76:H76)</f>
        <v>4053</v>
      </c>
      <c r="J76" s="79">
        <f t="shared" si="2"/>
        <v>104.02977412731008</v>
      </c>
      <c r="K76" s="111">
        <v>0</v>
      </c>
      <c r="L76" s="111">
        <v>0</v>
      </c>
      <c r="M76" s="110">
        <v>4060</v>
      </c>
      <c r="N76" s="111">
        <f t="shared" si="27"/>
        <v>4060</v>
      </c>
    </row>
    <row r="77" spans="1:14" ht="36" customHeight="1">
      <c r="A77" s="1"/>
      <c r="B77" s="50" t="s">
        <v>4</v>
      </c>
      <c r="C77" s="27"/>
      <c r="D77" s="27">
        <f t="shared" ref="D77:M77" si="28">D78+D84+D89+D91</f>
        <v>261762</v>
      </c>
      <c r="E77" s="27">
        <f t="shared" si="28"/>
        <v>276843</v>
      </c>
      <c r="F77" s="27">
        <f t="shared" si="28"/>
        <v>332829</v>
      </c>
      <c r="G77" s="27">
        <f t="shared" si="28"/>
        <v>-64385</v>
      </c>
      <c r="H77" s="27">
        <f t="shared" si="28"/>
        <v>0</v>
      </c>
      <c r="I77" s="27">
        <f t="shared" si="28"/>
        <v>268444</v>
      </c>
      <c r="J77" s="80">
        <f t="shared" si="2"/>
        <v>96.966150489627694</v>
      </c>
      <c r="K77" s="27">
        <f t="shared" si="28"/>
        <v>378244</v>
      </c>
      <c r="L77" s="27">
        <f t="shared" si="28"/>
        <v>47000</v>
      </c>
      <c r="M77" s="27">
        <f t="shared" si="28"/>
        <v>0</v>
      </c>
      <c r="N77" s="27">
        <f>N78+N84+N89+N91</f>
        <v>425244</v>
      </c>
    </row>
    <row r="78" spans="1:14" ht="23.25" customHeight="1" thickBot="1">
      <c r="B78" s="32" t="s">
        <v>87</v>
      </c>
      <c r="C78" s="35"/>
      <c r="D78" s="35">
        <f t="shared" ref="D78:I78" si="29">D79+D82+D80+D81+D83</f>
        <v>298734</v>
      </c>
      <c r="E78" s="35">
        <f t="shared" si="29"/>
        <v>305752</v>
      </c>
      <c r="F78" s="35">
        <f t="shared" si="29"/>
        <v>249336</v>
      </c>
      <c r="G78" s="35">
        <f t="shared" si="29"/>
        <v>35897</v>
      </c>
      <c r="H78" s="35">
        <f t="shared" si="29"/>
        <v>0</v>
      </c>
      <c r="I78" s="35">
        <f t="shared" si="29"/>
        <v>285233</v>
      </c>
      <c r="J78" s="82">
        <f t="shared" si="2"/>
        <v>93.289005468484262</v>
      </c>
      <c r="K78" s="132">
        <f>K79+K80+K81+K82+K83</f>
        <v>378244</v>
      </c>
      <c r="L78" s="132">
        <f t="shared" ref="L78:N78" si="30">L79+L80+L81+L82+L83</f>
        <v>40000</v>
      </c>
      <c r="M78" s="132">
        <f t="shared" si="30"/>
        <v>0</v>
      </c>
      <c r="N78" s="132">
        <f t="shared" si="30"/>
        <v>418244</v>
      </c>
    </row>
    <row r="79" spans="1:14" ht="34.5" customHeight="1" thickTop="1">
      <c r="B79" s="29" t="s">
        <v>9</v>
      </c>
      <c r="C79" s="37" t="s">
        <v>11</v>
      </c>
      <c r="D79" s="31">
        <v>182000</v>
      </c>
      <c r="E79" s="31">
        <v>192818</v>
      </c>
      <c r="F79" s="31">
        <v>179613</v>
      </c>
      <c r="G79" s="31">
        <v>0</v>
      </c>
      <c r="H79" s="31">
        <v>0</v>
      </c>
      <c r="I79" s="74">
        <f>SUM(F79:H79)</f>
        <v>179613</v>
      </c>
      <c r="J79" s="81">
        <f t="shared" si="2"/>
        <v>93.151572985924545</v>
      </c>
      <c r="K79" s="107">
        <v>378244</v>
      </c>
      <c r="L79" s="107"/>
      <c r="M79" s="107"/>
      <c r="N79" s="107">
        <f>SUM(K79:M79)</f>
        <v>378244</v>
      </c>
    </row>
    <row r="80" spans="1:14" ht="22.5" customHeight="1">
      <c r="B80" s="14" t="s">
        <v>14</v>
      </c>
      <c r="C80" s="15" t="s">
        <v>15</v>
      </c>
      <c r="D80" s="16">
        <v>17570</v>
      </c>
      <c r="E80" s="16">
        <v>17570</v>
      </c>
      <c r="F80" s="16">
        <v>12851</v>
      </c>
      <c r="G80" s="16">
        <v>0</v>
      </c>
      <c r="H80" s="16">
        <v>0</v>
      </c>
      <c r="I80" s="71">
        <f>SUM(F80:H80)</f>
        <v>12851</v>
      </c>
      <c r="J80" s="79">
        <f t="shared" si="2"/>
        <v>73.141718838929989</v>
      </c>
      <c r="K80" s="108"/>
      <c r="L80" s="108"/>
      <c r="M80" s="108"/>
      <c r="N80" s="108"/>
    </row>
    <row r="81" spans="1:14" ht="22.5" customHeight="1">
      <c r="B81" s="14" t="s">
        <v>13</v>
      </c>
      <c r="C81" s="15" t="s">
        <v>12</v>
      </c>
      <c r="D81" s="16">
        <v>38000</v>
      </c>
      <c r="E81" s="16">
        <v>38000</v>
      </c>
      <c r="F81" s="16">
        <v>36114</v>
      </c>
      <c r="G81" s="16">
        <v>0</v>
      </c>
      <c r="H81" s="16">
        <v>0</v>
      </c>
      <c r="I81" s="71">
        <f>SUM(F81:H81)</f>
        <v>36114</v>
      </c>
      <c r="J81" s="79">
        <f t="shared" si="2"/>
        <v>95.036842105263148</v>
      </c>
      <c r="K81" s="108"/>
      <c r="L81" s="108"/>
      <c r="M81" s="108"/>
      <c r="N81" s="108"/>
    </row>
    <row r="82" spans="1:14" ht="22.5" customHeight="1">
      <c r="B82" s="14" t="s">
        <v>57</v>
      </c>
      <c r="C82" s="15" t="s">
        <v>17</v>
      </c>
      <c r="D82" s="16">
        <v>40000</v>
      </c>
      <c r="E82" s="16">
        <v>36200</v>
      </c>
      <c r="F82" s="16">
        <v>0</v>
      </c>
      <c r="G82" s="16">
        <v>35897</v>
      </c>
      <c r="H82" s="16">
        <v>0</v>
      </c>
      <c r="I82" s="71">
        <f>SUM(F82:H82)</f>
        <v>35897</v>
      </c>
      <c r="J82" s="79">
        <f t="shared" si="2"/>
        <v>99.162983425414367</v>
      </c>
      <c r="K82" s="108"/>
      <c r="L82" s="108">
        <v>40000</v>
      </c>
      <c r="M82" s="108"/>
      <c r="N82" s="108">
        <f>SUM(K82:M82)</f>
        <v>40000</v>
      </c>
    </row>
    <row r="83" spans="1:14" ht="35.25" customHeight="1">
      <c r="B83" s="60" t="s">
        <v>61</v>
      </c>
      <c r="C83" s="65" t="s">
        <v>71</v>
      </c>
      <c r="D83" s="64">
        <v>21164</v>
      </c>
      <c r="E83" s="64">
        <v>21164</v>
      </c>
      <c r="F83" s="64">
        <v>20758</v>
      </c>
      <c r="G83" s="64">
        <v>0</v>
      </c>
      <c r="H83" s="64">
        <v>0</v>
      </c>
      <c r="I83" s="71">
        <f>SUM(F83:H83)</f>
        <v>20758</v>
      </c>
      <c r="J83" s="79">
        <f t="shared" si="2"/>
        <v>98.081648081648069</v>
      </c>
      <c r="K83" s="108"/>
      <c r="L83" s="108"/>
      <c r="M83" s="108"/>
      <c r="N83" s="108"/>
    </row>
    <row r="84" spans="1:14" ht="22.5" customHeight="1" thickBot="1">
      <c r="B84" s="32" t="s">
        <v>40</v>
      </c>
      <c r="C84" s="35"/>
      <c r="D84" s="35">
        <f>D85+D86+D87+D88</f>
        <v>79558</v>
      </c>
      <c r="E84" s="35">
        <f t="shared" ref="E84:I84" si="31">E85+E86+E87+E88</f>
        <v>84558</v>
      </c>
      <c r="F84" s="35">
        <f t="shared" si="31"/>
        <v>80439</v>
      </c>
      <c r="G84" s="35">
        <f t="shared" si="31"/>
        <v>0</v>
      </c>
      <c r="H84" s="35">
        <f t="shared" si="31"/>
        <v>0</v>
      </c>
      <c r="I84" s="35">
        <f t="shared" si="31"/>
        <v>80439</v>
      </c>
      <c r="J84" s="82">
        <f t="shared" si="2"/>
        <v>95.128787341233235</v>
      </c>
      <c r="K84" s="106">
        <f>K85+K86+K87</f>
        <v>0</v>
      </c>
      <c r="L84" s="106">
        <f t="shared" ref="L84:N84" si="32">L85+L86+L87</f>
        <v>0</v>
      </c>
      <c r="M84" s="106">
        <f t="shared" si="32"/>
        <v>0</v>
      </c>
      <c r="N84" s="106">
        <f t="shared" si="32"/>
        <v>0</v>
      </c>
    </row>
    <row r="85" spans="1:14" ht="34.5" customHeight="1" thickTop="1">
      <c r="B85" s="29" t="s">
        <v>9</v>
      </c>
      <c r="C85" s="37" t="s">
        <v>11</v>
      </c>
      <c r="D85" s="31">
        <v>60000</v>
      </c>
      <c r="E85" s="31">
        <v>62465</v>
      </c>
      <c r="F85" s="31">
        <v>62464</v>
      </c>
      <c r="G85" s="31">
        <v>0</v>
      </c>
      <c r="H85" s="31">
        <v>0</v>
      </c>
      <c r="I85" s="74">
        <f>SUM(F85:H85)</f>
        <v>62464</v>
      </c>
      <c r="J85" s="81">
        <f t="shared" si="2"/>
        <v>99.99839910349796</v>
      </c>
      <c r="K85" s="107"/>
      <c r="L85" s="107"/>
      <c r="M85" s="107"/>
      <c r="N85" s="107"/>
    </row>
    <row r="86" spans="1:14" ht="22.5" customHeight="1">
      <c r="B86" s="14" t="s">
        <v>14</v>
      </c>
      <c r="C86" s="15" t="s">
        <v>15</v>
      </c>
      <c r="D86" s="16">
        <v>8400</v>
      </c>
      <c r="E86" s="16">
        <v>2935</v>
      </c>
      <c r="F86" s="16">
        <v>1427</v>
      </c>
      <c r="G86" s="16">
        <v>0</v>
      </c>
      <c r="H86" s="16">
        <v>0</v>
      </c>
      <c r="I86" s="71">
        <f>SUM(F86:H86)</f>
        <v>1427</v>
      </c>
      <c r="J86" s="79">
        <f t="shared" si="2"/>
        <v>48.620102214650771</v>
      </c>
      <c r="K86" s="108"/>
      <c r="L86" s="108"/>
      <c r="M86" s="108"/>
      <c r="N86" s="108"/>
    </row>
    <row r="87" spans="1:14" ht="22.5" customHeight="1">
      <c r="B87" s="14" t="s">
        <v>13</v>
      </c>
      <c r="C87" s="15" t="s">
        <v>12</v>
      </c>
      <c r="D87" s="16">
        <v>11158</v>
      </c>
      <c r="E87" s="16">
        <v>12458</v>
      </c>
      <c r="F87" s="16">
        <v>12393</v>
      </c>
      <c r="G87" s="16">
        <v>0</v>
      </c>
      <c r="H87" s="16">
        <v>0</v>
      </c>
      <c r="I87" s="71">
        <f>SUM(F87:H87)</f>
        <v>12393</v>
      </c>
      <c r="J87" s="79">
        <f t="shared" si="2"/>
        <v>99.478246909616303</v>
      </c>
      <c r="K87" s="108"/>
      <c r="L87" s="108"/>
      <c r="M87" s="108"/>
      <c r="N87" s="108"/>
    </row>
    <row r="88" spans="1:14" ht="22.5" customHeight="1">
      <c r="B88" s="14" t="s">
        <v>57</v>
      </c>
      <c r="C88" s="15" t="s">
        <v>17</v>
      </c>
      <c r="D88" s="64">
        <v>0</v>
      </c>
      <c r="E88" s="64">
        <v>6700</v>
      </c>
      <c r="F88" s="64">
        <v>4155</v>
      </c>
      <c r="G88" s="64">
        <v>0</v>
      </c>
      <c r="H88" s="64">
        <v>0</v>
      </c>
      <c r="I88" s="102">
        <f>SUM(F88:H88)</f>
        <v>4155</v>
      </c>
      <c r="J88" s="88">
        <f t="shared" si="2"/>
        <v>62.014925373134332</v>
      </c>
      <c r="K88" s="116"/>
      <c r="L88" s="116"/>
      <c r="M88" s="116"/>
      <c r="N88" s="116"/>
    </row>
    <row r="89" spans="1:14" ht="22.5" customHeight="1" thickBot="1">
      <c r="A89" s="3"/>
      <c r="B89" s="32" t="s">
        <v>41</v>
      </c>
      <c r="C89" s="35"/>
      <c r="D89" s="35">
        <f t="shared" ref="D89:I89" si="33">D90</f>
        <v>4300</v>
      </c>
      <c r="E89" s="35">
        <f t="shared" si="33"/>
        <v>7363</v>
      </c>
      <c r="F89" s="35">
        <f t="shared" si="33"/>
        <v>3054</v>
      </c>
      <c r="G89" s="35">
        <f t="shared" si="33"/>
        <v>3965</v>
      </c>
      <c r="H89" s="35">
        <f t="shared" si="33"/>
        <v>0</v>
      </c>
      <c r="I89" s="35">
        <f t="shared" si="33"/>
        <v>7019</v>
      </c>
      <c r="J89" s="82">
        <f t="shared" si="2"/>
        <v>95.327991307890798</v>
      </c>
      <c r="K89" s="132">
        <f>K90</f>
        <v>0</v>
      </c>
      <c r="L89" s="132">
        <f t="shared" ref="L89:N89" si="34">L90</f>
        <v>7000</v>
      </c>
      <c r="M89" s="132">
        <f t="shared" si="34"/>
        <v>0</v>
      </c>
      <c r="N89" s="132">
        <f t="shared" si="34"/>
        <v>7000</v>
      </c>
    </row>
    <row r="90" spans="1:14" ht="22.5" customHeight="1" thickTop="1">
      <c r="A90" s="3"/>
      <c r="B90" s="29" t="s">
        <v>35</v>
      </c>
      <c r="C90" s="37" t="s">
        <v>17</v>
      </c>
      <c r="D90" s="31">
        <v>4300</v>
      </c>
      <c r="E90" s="31">
        <v>7363</v>
      </c>
      <c r="F90" s="31">
        <v>3054</v>
      </c>
      <c r="G90" s="31">
        <v>3965</v>
      </c>
      <c r="H90" s="31">
        <v>0</v>
      </c>
      <c r="I90" s="74">
        <f>SUM(F90:H90)</f>
        <v>7019</v>
      </c>
      <c r="J90" s="81">
        <f t="shared" si="2"/>
        <v>95.327991307890798</v>
      </c>
      <c r="K90" s="107">
        <v>0</v>
      </c>
      <c r="L90" s="107">
        <v>7000</v>
      </c>
      <c r="M90" s="107">
        <v>0</v>
      </c>
      <c r="N90" s="107">
        <f>SUM(K90:M90)</f>
        <v>7000</v>
      </c>
    </row>
    <row r="91" spans="1:14" ht="22.5" customHeight="1" thickBot="1">
      <c r="A91" s="3"/>
      <c r="B91" s="122" t="s">
        <v>79</v>
      </c>
      <c r="C91" s="123"/>
      <c r="D91" s="124">
        <f t="shared" ref="D91:I91" si="35">D92+D93+D94+D95</f>
        <v>-120830</v>
      </c>
      <c r="E91" s="124">
        <f t="shared" si="35"/>
        <v>-120830</v>
      </c>
      <c r="F91" s="124">
        <f t="shared" si="35"/>
        <v>0</v>
      </c>
      <c r="G91" s="124">
        <f t="shared" si="35"/>
        <v>-104247</v>
      </c>
      <c r="H91" s="124">
        <f t="shared" si="35"/>
        <v>0</v>
      </c>
      <c r="I91" s="124">
        <f t="shared" si="35"/>
        <v>-104247</v>
      </c>
      <c r="J91" s="82">
        <f t="shared" si="2"/>
        <v>86.275759331291908</v>
      </c>
      <c r="K91" s="106">
        <f>K92+K93+K94+K95</f>
        <v>0</v>
      </c>
      <c r="L91" s="106">
        <f t="shared" ref="L91:N91" si="36">L92+L93+L94+L95</f>
        <v>0</v>
      </c>
      <c r="M91" s="106">
        <f t="shared" si="36"/>
        <v>0</v>
      </c>
      <c r="N91" s="106">
        <f t="shared" si="36"/>
        <v>0</v>
      </c>
    </row>
    <row r="92" spans="1:14" ht="22.5" customHeight="1" thickTop="1">
      <c r="A92" s="3"/>
      <c r="B92" s="125" t="s">
        <v>14</v>
      </c>
      <c r="C92" s="126" t="s">
        <v>15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74">
        <f>SUM(G92:H92)</f>
        <v>0</v>
      </c>
      <c r="J92" s="81">
        <v>0</v>
      </c>
      <c r="K92" s="107">
        <v>0</v>
      </c>
      <c r="L92" s="107">
        <v>0</v>
      </c>
      <c r="M92" s="107">
        <v>0</v>
      </c>
      <c r="N92" s="107">
        <f>SUM(K92:M92)</f>
        <v>0</v>
      </c>
    </row>
    <row r="93" spans="1:14" ht="22.5" customHeight="1">
      <c r="A93" s="3"/>
      <c r="B93" s="125" t="s">
        <v>57</v>
      </c>
      <c r="C93" s="126" t="s">
        <v>17</v>
      </c>
      <c r="D93" s="127">
        <v>0</v>
      </c>
      <c r="E93" s="127">
        <v>0</v>
      </c>
      <c r="F93" s="127">
        <v>0</v>
      </c>
      <c r="G93" s="127">
        <v>1373</v>
      </c>
      <c r="H93" s="127">
        <v>0</v>
      </c>
      <c r="I93" s="74">
        <f>SUM(G93:H93)</f>
        <v>1373</v>
      </c>
      <c r="J93" s="81">
        <v>0</v>
      </c>
      <c r="K93" s="108">
        <v>0</v>
      </c>
      <c r="L93" s="108">
        <v>0</v>
      </c>
      <c r="M93" s="107">
        <v>0</v>
      </c>
      <c r="N93" s="108">
        <f>SUM(K93:M93)</f>
        <v>0</v>
      </c>
    </row>
    <row r="94" spans="1:14" ht="22.5" customHeight="1">
      <c r="A94" s="3"/>
      <c r="B94" s="125" t="s">
        <v>59</v>
      </c>
      <c r="C94" s="126" t="s">
        <v>60</v>
      </c>
      <c r="D94" s="127">
        <v>-131000</v>
      </c>
      <c r="E94" s="127">
        <v>-131000</v>
      </c>
      <c r="F94" s="127">
        <v>0</v>
      </c>
      <c r="G94" s="127">
        <v>-115790</v>
      </c>
      <c r="H94" s="127">
        <v>0</v>
      </c>
      <c r="I94" s="74">
        <f>SUM(G94:H94)</f>
        <v>-115790</v>
      </c>
      <c r="J94" s="81">
        <f t="shared" si="2"/>
        <v>88.389312977099237</v>
      </c>
      <c r="K94" s="107">
        <v>0</v>
      </c>
      <c r="L94" s="108">
        <v>0</v>
      </c>
      <c r="M94" s="107">
        <v>0</v>
      </c>
      <c r="N94" s="108">
        <f t="shared" ref="N94:N95" si="37">SUM(K94:M94)</f>
        <v>0</v>
      </c>
    </row>
    <row r="95" spans="1:14" ht="22.5" customHeight="1">
      <c r="A95" s="3"/>
      <c r="B95" s="125" t="s">
        <v>61</v>
      </c>
      <c r="C95" s="126" t="s">
        <v>62</v>
      </c>
      <c r="D95" s="127">
        <v>10170</v>
      </c>
      <c r="E95" s="127">
        <v>10170</v>
      </c>
      <c r="F95" s="127">
        <v>0</v>
      </c>
      <c r="G95" s="127">
        <v>10170</v>
      </c>
      <c r="H95" s="127">
        <v>0</v>
      </c>
      <c r="I95" s="74">
        <f>SUM(G95:H95)</f>
        <v>10170</v>
      </c>
      <c r="J95" s="81">
        <f t="shared" si="2"/>
        <v>100</v>
      </c>
      <c r="K95" s="107">
        <v>0</v>
      </c>
      <c r="L95" s="108">
        <v>0</v>
      </c>
      <c r="M95" s="107">
        <v>0</v>
      </c>
      <c r="N95" s="108">
        <f t="shared" si="37"/>
        <v>0</v>
      </c>
    </row>
    <row r="96" spans="1:14" ht="46.5" customHeight="1">
      <c r="A96" s="4"/>
      <c r="B96" s="49" t="s">
        <v>36</v>
      </c>
      <c r="C96" s="27"/>
      <c r="D96" s="27">
        <f t="shared" ref="D96:N96" si="38">D97+D103+D106+D119+D110+D116</f>
        <v>338937</v>
      </c>
      <c r="E96" s="27">
        <f t="shared" si="38"/>
        <v>438151</v>
      </c>
      <c r="F96" s="27">
        <f t="shared" si="38"/>
        <v>80901</v>
      </c>
      <c r="G96" s="27">
        <f t="shared" si="38"/>
        <v>320079</v>
      </c>
      <c r="H96" s="27">
        <f t="shared" si="38"/>
        <v>46653</v>
      </c>
      <c r="I96" s="27">
        <f t="shared" si="38"/>
        <v>447633</v>
      </c>
      <c r="J96" s="80">
        <f t="shared" si="2"/>
        <v>102.16409411367313</v>
      </c>
      <c r="K96" s="27">
        <f t="shared" si="38"/>
        <v>3296</v>
      </c>
      <c r="L96" s="27">
        <f>L97+L103+L106+L119+L110+L116</f>
        <v>273879</v>
      </c>
      <c r="M96" s="27">
        <f t="shared" si="38"/>
        <v>54353</v>
      </c>
      <c r="N96" s="27">
        <f t="shared" si="38"/>
        <v>331528</v>
      </c>
    </row>
    <row r="97" spans="1:57" ht="22.5" customHeight="1" thickBot="1">
      <c r="A97" s="3"/>
      <c r="B97" s="32" t="s">
        <v>42</v>
      </c>
      <c r="C97" s="33"/>
      <c r="D97" s="42">
        <f t="shared" ref="D97:I97" si="39">D98+D100+D99+D101+D102</f>
        <v>253223</v>
      </c>
      <c r="E97" s="42">
        <f t="shared" si="39"/>
        <v>253223</v>
      </c>
      <c r="F97" s="42">
        <f t="shared" si="39"/>
        <v>0</v>
      </c>
      <c r="G97" s="42">
        <f t="shared" si="39"/>
        <v>258135</v>
      </c>
      <c r="H97" s="42">
        <f t="shared" si="39"/>
        <v>0</v>
      </c>
      <c r="I97" s="42">
        <f t="shared" si="39"/>
        <v>258135</v>
      </c>
      <c r="J97" s="82">
        <f t="shared" si="2"/>
        <v>101.93979219897086</v>
      </c>
      <c r="K97" s="132">
        <f>K98+K99+K100+K101+K102</f>
        <v>0</v>
      </c>
      <c r="L97" s="132">
        <f t="shared" ref="L97:N97" si="40">L98+L99+L100+L101+L102</f>
        <v>263379</v>
      </c>
      <c r="M97" s="132">
        <f t="shared" si="40"/>
        <v>0</v>
      </c>
      <c r="N97" s="132">
        <f t="shared" si="40"/>
        <v>263379</v>
      </c>
    </row>
    <row r="98" spans="1:57" ht="34.5" customHeight="1" thickTop="1">
      <c r="A98" s="3"/>
      <c r="B98" s="29" t="s">
        <v>9</v>
      </c>
      <c r="C98" s="36" t="s">
        <v>11</v>
      </c>
      <c r="D98" s="41">
        <v>99518</v>
      </c>
      <c r="E98" s="41">
        <v>99518</v>
      </c>
      <c r="F98" s="41">
        <v>0</v>
      </c>
      <c r="G98" s="41">
        <v>87983</v>
      </c>
      <c r="H98" s="41">
        <v>0</v>
      </c>
      <c r="I98" s="74">
        <f>SUM(F98:H98)</f>
        <v>87983</v>
      </c>
      <c r="J98" s="81">
        <f t="shared" si="2"/>
        <v>88.409132016318665</v>
      </c>
      <c r="K98" s="107">
        <v>0</v>
      </c>
      <c r="L98" s="107">
        <v>99150</v>
      </c>
      <c r="M98" s="107">
        <v>0</v>
      </c>
      <c r="N98" s="107">
        <f>SUM(K98:M98)</f>
        <v>99150</v>
      </c>
    </row>
    <row r="99" spans="1:57" ht="22.5" customHeight="1">
      <c r="A99" s="3"/>
      <c r="B99" s="14" t="s">
        <v>14</v>
      </c>
      <c r="C99" s="21" t="s">
        <v>15</v>
      </c>
      <c r="D99" s="24">
        <v>15456</v>
      </c>
      <c r="E99" s="24">
        <v>18102</v>
      </c>
      <c r="F99" s="41">
        <v>0</v>
      </c>
      <c r="G99" s="41">
        <v>17620</v>
      </c>
      <c r="H99" s="24">
        <v>0</v>
      </c>
      <c r="I99" s="71">
        <f>SUM(F99:H99)</f>
        <v>17620</v>
      </c>
      <c r="J99" s="79">
        <f t="shared" si="2"/>
        <v>97.337310794387349</v>
      </c>
      <c r="K99" s="107">
        <v>0</v>
      </c>
      <c r="L99" s="108">
        <v>15456</v>
      </c>
      <c r="M99" s="107">
        <v>0</v>
      </c>
      <c r="N99" s="107">
        <f t="shared" ref="N99:N102" si="41">SUM(K99:M99)</f>
        <v>15456</v>
      </c>
    </row>
    <row r="100" spans="1:57" ht="22.5" customHeight="1">
      <c r="A100" s="3"/>
      <c r="B100" s="14" t="s">
        <v>13</v>
      </c>
      <c r="C100" s="21" t="s">
        <v>12</v>
      </c>
      <c r="D100" s="24">
        <v>20303</v>
      </c>
      <c r="E100" s="24">
        <v>20303</v>
      </c>
      <c r="F100" s="41">
        <v>0</v>
      </c>
      <c r="G100" s="41">
        <v>18963</v>
      </c>
      <c r="H100" s="41">
        <v>0</v>
      </c>
      <c r="I100" s="71">
        <f>SUM(F100:H100)</f>
        <v>18963</v>
      </c>
      <c r="J100" s="79">
        <f t="shared" si="2"/>
        <v>93.399990149239031</v>
      </c>
      <c r="K100" s="107">
        <v>0</v>
      </c>
      <c r="L100" s="108">
        <f>19096+1692</f>
        <v>20788</v>
      </c>
      <c r="M100" s="107">
        <v>0</v>
      </c>
      <c r="N100" s="107">
        <f t="shared" si="41"/>
        <v>20788</v>
      </c>
    </row>
    <row r="101" spans="1:57" ht="22.5" customHeight="1">
      <c r="A101" s="3"/>
      <c r="B101" s="14" t="s">
        <v>16</v>
      </c>
      <c r="C101" s="21" t="s">
        <v>17</v>
      </c>
      <c r="D101" s="24">
        <v>117646</v>
      </c>
      <c r="E101" s="24">
        <v>114975</v>
      </c>
      <c r="F101" s="41">
        <v>0</v>
      </c>
      <c r="G101" s="41">
        <v>133240</v>
      </c>
      <c r="H101" s="24">
        <v>0</v>
      </c>
      <c r="I101" s="71">
        <f>SUM(F101:H101)</f>
        <v>133240</v>
      </c>
      <c r="J101" s="79">
        <f t="shared" si="2"/>
        <v>115.88606218743205</v>
      </c>
      <c r="K101" s="107">
        <v>0</v>
      </c>
      <c r="L101" s="108">
        <f>2665+125000</f>
        <v>127665</v>
      </c>
      <c r="M101" s="107">
        <v>0</v>
      </c>
      <c r="N101" s="107">
        <f t="shared" si="41"/>
        <v>127665</v>
      </c>
    </row>
    <row r="102" spans="1:57" ht="22.5" customHeight="1">
      <c r="A102" s="3"/>
      <c r="B102" s="14" t="s">
        <v>59</v>
      </c>
      <c r="C102" s="21" t="s">
        <v>60</v>
      </c>
      <c r="D102" s="24">
        <v>300</v>
      </c>
      <c r="E102" s="24">
        <v>325</v>
      </c>
      <c r="F102" s="41">
        <v>0</v>
      </c>
      <c r="G102" s="41">
        <v>329</v>
      </c>
      <c r="H102" s="41">
        <v>0</v>
      </c>
      <c r="I102" s="71">
        <f>SUM(F102:H102)</f>
        <v>329</v>
      </c>
      <c r="J102" s="79">
        <f t="shared" ref="J102:J167" si="42">I102/E102*100</f>
        <v>101.23076923076924</v>
      </c>
      <c r="K102" s="107">
        <v>0</v>
      </c>
      <c r="L102" s="108">
        <v>320</v>
      </c>
      <c r="M102" s="107">
        <v>0</v>
      </c>
      <c r="N102" s="107">
        <f t="shared" si="41"/>
        <v>320</v>
      </c>
    </row>
    <row r="103" spans="1:57" s="2" customFormat="1" ht="22.5" customHeight="1" thickBot="1">
      <c r="A103" s="3"/>
      <c r="B103" s="32" t="s">
        <v>93</v>
      </c>
      <c r="C103" s="35"/>
      <c r="D103" s="42">
        <f t="shared" ref="D103:I103" si="43">D104+D105</f>
        <v>8500</v>
      </c>
      <c r="E103" s="42">
        <f t="shared" si="43"/>
        <v>8500</v>
      </c>
      <c r="F103" s="42">
        <f t="shared" si="43"/>
        <v>0</v>
      </c>
      <c r="G103" s="42">
        <f t="shared" si="43"/>
        <v>9846</v>
      </c>
      <c r="H103" s="42">
        <f t="shared" si="43"/>
        <v>0</v>
      </c>
      <c r="I103" s="42">
        <f t="shared" si="43"/>
        <v>9846</v>
      </c>
      <c r="J103" s="82">
        <f t="shared" si="42"/>
        <v>115.83529411764705</v>
      </c>
      <c r="K103" s="132">
        <f>K104+K105</f>
        <v>0</v>
      </c>
      <c r="L103" s="132">
        <f t="shared" ref="L103:N103" si="44">L104+L105</f>
        <v>10500</v>
      </c>
      <c r="M103" s="132">
        <f t="shared" si="44"/>
        <v>0</v>
      </c>
      <c r="N103" s="132">
        <f t="shared" si="44"/>
        <v>10500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s="2" customFormat="1" ht="22.5" customHeight="1" thickTop="1">
      <c r="A104" s="3"/>
      <c r="B104" s="29" t="s">
        <v>16</v>
      </c>
      <c r="C104" s="37" t="s">
        <v>17</v>
      </c>
      <c r="D104" s="41">
        <v>4000</v>
      </c>
      <c r="E104" s="41">
        <v>4000</v>
      </c>
      <c r="F104" s="41">
        <v>0</v>
      </c>
      <c r="G104" s="41">
        <v>5694</v>
      </c>
      <c r="H104" s="41">
        <v>0</v>
      </c>
      <c r="I104" s="74">
        <f>SUM(F104:H104)</f>
        <v>5694</v>
      </c>
      <c r="J104" s="81">
        <f t="shared" si="42"/>
        <v>142.35</v>
      </c>
      <c r="K104" s="107">
        <v>0</v>
      </c>
      <c r="L104" s="107">
        <v>5500</v>
      </c>
      <c r="M104" s="107">
        <v>0</v>
      </c>
      <c r="N104" s="107">
        <f>SUM(K104:M104)</f>
        <v>5500</v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s="2" customFormat="1" ht="22.5" customHeight="1">
      <c r="A105" s="3"/>
      <c r="B105" s="14" t="s">
        <v>66</v>
      </c>
      <c r="C105" s="25" t="s">
        <v>26</v>
      </c>
      <c r="D105" s="48">
        <v>4500</v>
      </c>
      <c r="E105" s="48">
        <v>4500</v>
      </c>
      <c r="F105" s="48">
        <v>0</v>
      </c>
      <c r="G105" s="48">
        <v>4152</v>
      </c>
      <c r="H105" s="48">
        <v>0</v>
      </c>
      <c r="I105" s="71">
        <f>SUM(F105:H105)</f>
        <v>4152</v>
      </c>
      <c r="J105" s="79">
        <f t="shared" si="42"/>
        <v>92.266666666666666</v>
      </c>
      <c r="K105" s="108">
        <v>0</v>
      </c>
      <c r="L105" s="108">
        <v>5000</v>
      </c>
      <c r="M105" s="108">
        <v>0</v>
      </c>
      <c r="N105" s="107">
        <f>SUM(K105:M105)</f>
        <v>5000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22.5" customHeight="1" thickBot="1">
      <c r="A106" s="3"/>
      <c r="B106" s="32" t="s">
        <v>43</v>
      </c>
      <c r="C106" s="35"/>
      <c r="D106" s="42">
        <f t="shared" ref="D106:I106" si="45">D107+D108</f>
        <v>23172</v>
      </c>
      <c r="E106" s="42">
        <f t="shared" si="45"/>
        <v>87848</v>
      </c>
      <c r="F106" s="42">
        <f t="shared" si="45"/>
        <v>83463</v>
      </c>
      <c r="G106" s="42">
        <f t="shared" si="45"/>
        <v>0</v>
      </c>
      <c r="H106" s="42">
        <f t="shared" si="45"/>
        <v>0</v>
      </c>
      <c r="I106" s="42">
        <f t="shared" si="45"/>
        <v>83463</v>
      </c>
      <c r="J106" s="82">
        <f t="shared" si="42"/>
        <v>95.008423640834167</v>
      </c>
      <c r="K106" s="132">
        <f>K107+K108</f>
        <v>3296</v>
      </c>
      <c r="L106" s="132">
        <f t="shared" ref="L106" si="46">L107+L108</f>
        <v>0</v>
      </c>
      <c r="M106" s="132">
        <f>M107+M108+M109</f>
        <v>14653</v>
      </c>
      <c r="N106" s="132">
        <f>N107+N108+N109</f>
        <v>17949</v>
      </c>
    </row>
    <row r="107" spans="1:57" ht="22.5" customHeight="1" thickTop="1">
      <c r="A107" s="3"/>
      <c r="B107" s="29" t="s">
        <v>14</v>
      </c>
      <c r="C107" s="37" t="s">
        <v>15</v>
      </c>
      <c r="D107" s="41">
        <v>19621</v>
      </c>
      <c r="E107" s="41">
        <v>74047</v>
      </c>
      <c r="F107" s="41">
        <v>70348</v>
      </c>
      <c r="G107" s="41">
        <v>0</v>
      </c>
      <c r="H107" s="41">
        <v>0</v>
      </c>
      <c r="I107" s="74">
        <f>SUM(F107:H107)</f>
        <v>70348</v>
      </c>
      <c r="J107" s="81">
        <f t="shared" si="42"/>
        <v>95.004524153578132</v>
      </c>
      <c r="K107" s="107">
        <v>3296</v>
      </c>
      <c r="L107" s="107">
        <v>0</v>
      </c>
      <c r="M107" s="107">
        <v>7650</v>
      </c>
      <c r="N107" s="107">
        <f>K107+L107+M107</f>
        <v>10946</v>
      </c>
    </row>
    <row r="108" spans="1:57" ht="22.5" customHeight="1">
      <c r="A108" s="3"/>
      <c r="B108" s="14" t="s">
        <v>13</v>
      </c>
      <c r="C108" s="21" t="s">
        <v>12</v>
      </c>
      <c r="D108" s="41">
        <v>3551</v>
      </c>
      <c r="E108" s="41">
        <v>13801</v>
      </c>
      <c r="F108" s="41">
        <v>13115</v>
      </c>
      <c r="G108" s="41">
        <v>0</v>
      </c>
      <c r="H108" s="41">
        <v>0</v>
      </c>
      <c r="I108" s="71">
        <f>SUM(F108:H108)</f>
        <v>13115</v>
      </c>
      <c r="J108" s="79">
        <f t="shared" si="42"/>
        <v>95.029345699586983</v>
      </c>
      <c r="K108" s="108">
        <v>0</v>
      </c>
      <c r="L108" s="108">
        <v>0</v>
      </c>
      <c r="M108" s="108">
        <v>1473</v>
      </c>
      <c r="N108" s="107">
        <f t="shared" ref="N108:N109" si="47">K108+L108+M108</f>
        <v>1473</v>
      </c>
    </row>
    <row r="109" spans="1:57" ht="22.5" customHeight="1">
      <c r="A109" s="3"/>
      <c r="B109" s="60" t="s">
        <v>16</v>
      </c>
      <c r="C109" s="118" t="s">
        <v>17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102">
        <f>SUM(F109:H109)</f>
        <v>0</v>
      </c>
      <c r="J109" s="88">
        <v>0</v>
      </c>
      <c r="K109" s="116">
        <v>0</v>
      </c>
      <c r="L109" s="116">
        <v>0</v>
      </c>
      <c r="M109" s="116">
        <f>230+5300</f>
        <v>5530</v>
      </c>
      <c r="N109" s="107">
        <f t="shared" si="47"/>
        <v>5530</v>
      </c>
    </row>
    <row r="110" spans="1:57" ht="22.5" customHeight="1" thickBot="1">
      <c r="A110" s="3"/>
      <c r="B110" s="32" t="s">
        <v>63</v>
      </c>
      <c r="C110" s="39"/>
      <c r="D110" s="42">
        <f>D111+D113+D114+D112</f>
        <v>54042</v>
      </c>
      <c r="E110" s="42">
        <f>E111+E113+E114+E112</f>
        <v>54042</v>
      </c>
      <c r="F110" s="42">
        <f>F111+F113+F114</f>
        <v>0</v>
      </c>
      <c r="G110" s="42">
        <f>G111+G113+G114+G112</f>
        <v>0</v>
      </c>
      <c r="H110" s="42">
        <f>H111+H113+H114+H112+H115</f>
        <v>46653</v>
      </c>
      <c r="I110" s="42">
        <f>I111+I113+I114+I112+I115</f>
        <v>46653</v>
      </c>
      <c r="J110" s="89">
        <f t="shared" si="42"/>
        <v>86.327300988120342</v>
      </c>
      <c r="K110" s="132">
        <f>K111+K112+K113+K114</f>
        <v>0</v>
      </c>
      <c r="L110" s="132">
        <f t="shared" ref="L110:N110" si="48">L111+L112+L113+L114</f>
        <v>0</v>
      </c>
      <c r="M110" s="132">
        <f t="shared" si="48"/>
        <v>39700</v>
      </c>
      <c r="N110" s="132">
        <f t="shared" si="48"/>
        <v>39700</v>
      </c>
    </row>
    <row r="111" spans="1:57" ht="34.5" customHeight="1" thickTop="1">
      <c r="A111" s="3"/>
      <c r="B111" s="29" t="s">
        <v>9</v>
      </c>
      <c r="C111" s="37" t="s">
        <v>11</v>
      </c>
      <c r="D111" s="41">
        <v>25300</v>
      </c>
      <c r="E111" s="41">
        <v>25300</v>
      </c>
      <c r="F111" s="41">
        <v>0</v>
      </c>
      <c r="G111" s="41">
        <v>0</v>
      </c>
      <c r="H111" s="41">
        <v>10003</v>
      </c>
      <c r="I111" s="74">
        <f>SUM(F111:H111)</f>
        <v>10003</v>
      </c>
      <c r="J111" s="81">
        <f t="shared" si="42"/>
        <v>39.537549407114625</v>
      </c>
      <c r="K111" s="107">
        <v>0</v>
      </c>
      <c r="L111" s="107">
        <v>0</v>
      </c>
      <c r="M111" s="107">
        <v>17663</v>
      </c>
      <c r="N111" s="107">
        <f>SUM(K111:M111)</f>
        <v>17663</v>
      </c>
    </row>
    <row r="112" spans="1:57" ht="22.5" customHeight="1">
      <c r="A112" s="3"/>
      <c r="B112" s="29" t="s">
        <v>14</v>
      </c>
      <c r="C112" s="37" t="s">
        <v>15</v>
      </c>
      <c r="D112" s="41">
        <v>12684</v>
      </c>
      <c r="E112" s="41">
        <v>12684</v>
      </c>
      <c r="F112" s="41">
        <v>0</v>
      </c>
      <c r="G112" s="41">
        <v>0</v>
      </c>
      <c r="H112" s="41">
        <v>20023</v>
      </c>
      <c r="I112" s="74">
        <f>SUM(F112:H112)</f>
        <v>20023</v>
      </c>
      <c r="J112" s="81">
        <f t="shared" si="42"/>
        <v>157.86029643645537</v>
      </c>
      <c r="K112" s="107">
        <v>0</v>
      </c>
      <c r="L112" s="107">
        <v>0</v>
      </c>
      <c r="M112" s="108">
        <v>6120</v>
      </c>
      <c r="N112" s="107">
        <f t="shared" ref="N112:N114" si="49">SUM(K112:M112)</f>
        <v>6120</v>
      </c>
    </row>
    <row r="113" spans="1:14" ht="22.5" customHeight="1">
      <c r="A113" s="3"/>
      <c r="B113" s="29" t="s">
        <v>13</v>
      </c>
      <c r="C113" s="37" t="s">
        <v>12</v>
      </c>
      <c r="D113" s="41">
        <v>4730</v>
      </c>
      <c r="E113" s="41">
        <v>4730</v>
      </c>
      <c r="F113" s="41">
        <v>0</v>
      </c>
      <c r="G113" s="41">
        <v>0</v>
      </c>
      <c r="H113" s="41">
        <v>1910</v>
      </c>
      <c r="I113" s="74">
        <f>SUM(F113:H113)</f>
        <v>1910</v>
      </c>
      <c r="J113" s="81">
        <f t="shared" si="42"/>
        <v>40.380549682875269</v>
      </c>
      <c r="K113" s="107">
        <v>0</v>
      </c>
      <c r="L113" s="107">
        <v>0</v>
      </c>
      <c r="M113" s="108">
        <v>3402</v>
      </c>
      <c r="N113" s="107">
        <f t="shared" si="49"/>
        <v>3402</v>
      </c>
    </row>
    <row r="114" spans="1:14" ht="22.5" customHeight="1">
      <c r="A114" s="3"/>
      <c r="B114" s="29" t="s">
        <v>16</v>
      </c>
      <c r="C114" s="37" t="s">
        <v>17</v>
      </c>
      <c r="D114" s="41">
        <v>11328</v>
      </c>
      <c r="E114" s="41">
        <v>11328</v>
      </c>
      <c r="F114" s="41">
        <v>0</v>
      </c>
      <c r="G114" s="41">
        <v>0</v>
      </c>
      <c r="H114" s="41">
        <v>14662</v>
      </c>
      <c r="I114" s="74">
        <f>SUM(F114:H114)</f>
        <v>14662</v>
      </c>
      <c r="J114" s="81">
        <f t="shared" si="42"/>
        <v>129.43149717514123</v>
      </c>
      <c r="K114" s="107">
        <v>0</v>
      </c>
      <c r="L114" s="107">
        <v>0</v>
      </c>
      <c r="M114" s="108">
        <f>515+12000</f>
        <v>12515</v>
      </c>
      <c r="N114" s="107">
        <f t="shared" si="49"/>
        <v>12515</v>
      </c>
    </row>
    <row r="115" spans="1:14" ht="22.5" customHeight="1">
      <c r="A115" s="3"/>
      <c r="B115" s="63" t="s">
        <v>59</v>
      </c>
      <c r="C115" s="112" t="s">
        <v>60</v>
      </c>
      <c r="D115" s="48">
        <v>0</v>
      </c>
      <c r="E115" s="48">
        <v>0</v>
      </c>
      <c r="F115" s="48">
        <v>0</v>
      </c>
      <c r="G115" s="48">
        <v>0</v>
      </c>
      <c r="H115" s="48">
        <v>55</v>
      </c>
      <c r="I115" s="121">
        <f>SUM(F115:H115)</f>
        <v>55</v>
      </c>
      <c r="J115" s="98">
        <v>0</v>
      </c>
      <c r="K115" s="117">
        <v>0</v>
      </c>
      <c r="L115" s="117">
        <v>0</v>
      </c>
      <c r="M115" s="116">
        <v>0</v>
      </c>
      <c r="N115" s="117">
        <v>0</v>
      </c>
    </row>
    <row r="116" spans="1:14" ht="22.5" customHeight="1" thickBot="1">
      <c r="A116" s="3"/>
      <c r="B116" s="32" t="s">
        <v>64</v>
      </c>
      <c r="C116" s="39"/>
      <c r="D116" s="42">
        <f t="shared" ref="D116:I116" si="50">D118+D117</f>
        <v>0</v>
      </c>
      <c r="E116" s="42">
        <f t="shared" si="50"/>
        <v>0</v>
      </c>
      <c r="F116" s="42">
        <f t="shared" si="50"/>
        <v>0</v>
      </c>
      <c r="G116" s="42">
        <f t="shared" si="50"/>
        <v>35574</v>
      </c>
      <c r="H116" s="42">
        <f t="shared" si="50"/>
        <v>0</v>
      </c>
      <c r="I116" s="42">
        <f t="shared" si="50"/>
        <v>35574</v>
      </c>
      <c r="J116" s="82"/>
      <c r="K116" s="132">
        <f>K117+K118</f>
        <v>0</v>
      </c>
      <c r="L116" s="132">
        <f t="shared" ref="L116:N116" si="51">L117+L118</f>
        <v>0</v>
      </c>
      <c r="M116" s="132">
        <f t="shared" si="51"/>
        <v>0</v>
      </c>
      <c r="N116" s="132">
        <f t="shared" si="51"/>
        <v>0</v>
      </c>
    </row>
    <row r="117" spans="1:14" ht="22.5" customHeight="1" thickTop="1">
      <c r="A117" s="3"/>
      <c r="B117" s="63" t="s">
        <v>14</v>
      </c>
      <c r="C117" s="15" t="s">
        <v>15</v>
      </c>
      <c r="D117" s="48">
        <v>0</v>
      </c>
      <c r="E117" s="48">
        <v>0</v>
      </c>
      <c r="F117" s="41">
        <v>0</v>
      </c>
      <c r="G117" s="48">
        <v>35574</v>
      </c>
      <c r="H117" s="48">
        <v>0</v>
      </c>
      <c r="I117" s="74">
        <f>SUM(F117:H117)</f>
        <v>35574</v>
      </c>
      <c r="J117" s="79"/>
      <c r="K117" s="107">
        <v>0</v>
      </c>
      <c r="L117" s="107">
        <v>0</v>
      </c>
      <c r="M117" s="107">
        <v>0</v>
      </c>
      <c r="N117" s="107">
        <f>SUM(K117:M117)</f>
        <v>0</v>
      </c>
    </row>
    <row r="118" spans="1:14" ht="22.5" customHeight="1">
      <c r="A118" s="3"/>
      <c r="B118" s="60" t="s">
        <v>13</v>
      </c>
      <c r="C118" s="61" t="s">
        <v>12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71">
        <f>SUM(F118:H118)</f>
        <v>0</v>
      </c>
      <c r="J118" s="79"/>
      <c r="K118" s="108">
        <v>0</v>
      </c>
      <c r="L118" s="108">
        <v>0</v>
      </c>
      <c r="M118" s="108">
        <v>0</v>
      </c>
      <c r="N118" s="108">
        <v>0</v>
      </c>
    </row>
    <row r="119" spans="1:14" ht="34.5" customHeight="1" thickBot="1">
      <c r="A119" s="3"/>
      <c r="B119" s="32" t="s">
        <v>88</v>
      </c>
      <c r="C119" s="43"/>
      <c r="D119" s="42">
        <f>D121+D122+D120</f>
        <v>0</v>
      </c>
      <c r="E119" s="42">
        <f t="shared" ref="E119:I119" si="52">E121+E122+E120</f>
        <v>34538</v>
      </c>
      <c r="F119" s="42">
        <f t="shared" si="52"/>
        <v>-2562</v>
      </c>
      <c r="G119" s="42">
        <f t="shared" si="52"/>
        <v>16524</v>
      </c>
      <c r="H119" s="42">
        <f t="shared" si="52"/>
        <v>0</v>
      </c>
      <c r="I119" s="42">
        <f t="shared" si="52"/>
        <v>13962</v>
      </c>
      <c r="J119" s="89">
        <f>J121</f>
        <v>-13.97098920274839</v>
      </c>
      <c r="K119" s="132">
        <f>K121</f>
        <v>0</v>
      </c>
      <c r="L119" s="132">
        <f t="shared" ref="L119:N119" si="53">L121</f>
        <v>0</v>
      </c>
      <c r="M119" s="132">
        <f t="shared" si="53"/>
        <v>0</v>
      </c>
      <c r="N119" s="132">
        <f t="shared" si="53"/>
        <v>0</v>
      </c>
    </row>
    <row r="120" spans="1:14" ht="22.5" customHeight="1" thickTop="1">
      <c r="A120" s="3"/>
      <c r="B120" s="60" t="s">
        <v>16</v>
      </c>
      <c r="C120" s="61" t="s">
        <v>17</v>
      </c>
      <c r="D120" s="62">
        <v>0</v>
      </c>
      <c r="E120" s="62">
        <v>0</v>
      </c>
      <c r="F120" s="24">
        <v>0</v>
      </c>
      <c r="G120" s="62">
        <v>324</v>
      </c>
      <c r="H120" s="62">
        <v>0</v>
      </c>
      <c r="I120" s="62">
        <f>SUM(E120:H120)</f>
        <v>324</v>
      </c>
      <c r="J120" s="79">
        <v>0</v>
      </c>
      <c r="K120" s="107">
        <v>0</v>
      </c>
      <c r="L120" s="107">
        <v>0</v>
      </c>
      <c r="M120" s="107">
        <v>0</v>
      </c>
      <c r="N120" s="107">
        <v>0</v>
      </c>
    </row>
    <row r="121" spans="1:14" ht="22.5" customHeight="1">
      <c r="A121" s="3"/>
      <c r="B121" s="14" t="s">
        <v>67</v>
      </c>
      <c r="C121" s="15" t="s">
        <v>72</v>
      </c>
      <c r="D121" s="24">
        <v>0</v>
      </c>
      <c r="E121" s="24">
        <v>18338</v>
      </c>
      <c r="F121" s="41">
        <v>-2562</v>
      </c>
      <c r="G121" s="24">
        <v>0</v>
      </c>
      <c r="H121" s="24">
        <v>0</v>
      </c>
      <c r="I121" s="71">
        <f>SUM(F121:H121)</f>
        <v>-2562</v>
      </c>
      <c r="J121" s="79">
        <f t="shared" si="42"/>
        <v>-13.97098920274839</v>
      </c>
      <c r="K121" s="107">
        <v>0</v>
      </c>
      <c r="L121" s="107">
        <v>0</v>
      </c>
      <c r="M121" s="107">
        <v>0</v>
      </c>
      <c r="N121" s="107">
        <v>0</v>
      </c>
    </row>
    <row r="122" spans="1:14" ht="22.5" customHeight="1">
      <c r="A122" s="3"/>
      <c r="B122" s="14" t="s">
        <v>61</v>
      </c>
      <c r="C122" s="15" t="s">
        <v>62</v>
      </c>
      <c r="D122" s="24">
        <v>0</v>
      </c>
      <c r="E122" s="24">
        <v>16200</v>
      </c>
      <c r="F122" s="41">
        <v>0</v>
      </c>
      <c r="G122" s="24">
        <v>16200</v>
      </c>
      <c r="H122" s="24">
        <v>0</v>
      </c>
      <c r="I122" s="71">
        <f>SUM(F122:H122)</f>
        <v>16200</v>
      </c>
      <c r="J122" s="79">
        <v>0</v>
      </c>
      <c r="K122" s="107">
        <v>0</v>
      </c>
      <c r="L122" s="107">
        <v>0</v>
      </c>
      <c r="M122" s="107">
        <v>0</v>
      </c>
      <c r="N122" s="107">
        <v>0</v>
      </c>
    </row>
    <row r="123" spans="1:14" ht="45.75" customHeight="1">
      <c r="A123" s="1"/>
      <c r="B123" s="49" t="s">
        <v>92</v>
      </c>
      <c r="C123" s="27"/>
      <c r="D123" s="57">
        <f t="shared" ref="D123:I123" si="54">D130+D140+D137+D147+D124+D149</f>
        <v>1602281</v>
      </c>
      <c r="E123" s="57">
        <f t="shared" si="54"/>
        <v>1566419</v>
      </c>
      <c r="F123" s="57">
        <f t="shared" si="54"/>
        <v>0</v>
      </c>
      <c r="G123" s="57">
        <f t="shared" si="54"/>
        <v>1815704</v>
      </c>
      <c r="H123" s="57">
        <f t="shared" si="54"/>
        <v>0</v>
      </c>
      <c r="I123" s="57">
        <f t="shared" si="54"/>
        <v>1815704</v>
      </c>
      <c r="J123" s="80">
        <f t="shared" si="42"/>
        <v>115.91432432829274</v>
      </c>
      <c r="K123" s="57">
        <f>K130+K140+K137+K147+K124+K149</f>
        <v>0</v>
      </c>
      <c r="L123" s="57">
        <f>L130+L140+L137+L147+L124+L149</f>
        <v>2000992</v>
      </c>
      <c r="M123" s="57">
        <f>M130+M140+M137+M147+M124+M149</f>
        <v>0</v>
      </c>
      <c r="N123" s="57">
        <f>N130+N140+N137+N147+N124+N149</f>
        <v>2000992</v>
      </c>
    </row>
    <row r="124" spans="1:14" ht="30" customHeight="1" thickBot="1">
      <c r="A124" s="1"/>
      <c r="B124" s="122" t="s">
        <v>44</v>
      </c>
      <c r="C124" s="124"/>
      <c r="D124" s="134">
        <f t="shared" ref="D124:I124" si="55">D125+D127+D126+D129+D128</f>
        <v>511846</v>
      </c>
      <c r="E124" s="134">
        <f t="shared" si="55"/>
        <v>511980</v>
      </c>
      <c r="F124" s="134">
        <f t="shared" si="55"/>
        <v>0</v>
      </c>
      <c r="G124" s="134">
        <f t="shared" si="55"/>
        <v>573189</v>
      </c>
      <c r="H124" s="134">
        <f t="shared" si="55"/>
        <v>0</v>
      </c>
      <c r="I124" s="134">
        <f t="shared" si="55"/>
        <v>573189</v>
      </c>
      <c r="J124" s="82">
        <f t="shared" ref="J124:J129" si="56">I124/E124*100</f>
        <v>111.95534981835229</v>
      </c>
      <c r="K124" s="132">
        <f>K125+K126+K127+K128+K129</f>
        <v>0</v>
      </c>
      <c r="L124" s="132">
        <f t="shared" ref="L124:N124" si="57">L125+L126+L127+L128+L129</f>
        <v>475017</v>
      </c>
      <c r="M124" s="132">
        <f t="shared" si="57"/>
        <v>0</v>
      </c>
      <c r="N124" s="132">
        <f t="shared" si="57"/>
        <v>475017</v>
      </c>
    </row>
    <row r="125" spans="1:14" ht="34.5" customHeight="1" thickTop="1">
      <c r="A125" s="1"/>
      <c r="B125" s="135" t="s">
        <v>9</v>
      </c>
      <c r="C125" s="136" t="s">
        <v>11</v>
      </c>
      <c r="D125" s="137">
        <v>176246</v>
      </c>
      <c r="E125" s="137">
        <v>176246</v>
      </c>
      <c r="F125" s="137">
        <v>0</v>
      </c>
      <c r="G125" s="137">
        <v>165936</v>
      </c>
      <c r="H125" s="137">
        <v>0</v>
      </c>
      <c r="I125" s="138">
        <f>SUM(F125:H125)</f>
        <v>165936</v>
      </c>
      <c r="J125" s="98">
        <f t="shared" si="56"/>
        <v>94.150221849006499</v>
      </c>
      <c r="K125" s="107">
        <v>0</v>
      </c>
      <c r="L125" s="107">
        <v>41566</v>
      </c>
      <c r="M125" s="107">
        <v>0</v>
      </c>
      <c r="N125" s="107">
        <f>SUM(K125:M125)</f>
        <v>41566</v>
      </c>
    </row>
    <row r="126" spans="1:14" ht="22.5" customHeight="1">
      <c r="A126" s="1"/>
      <c r="B126" s="139" t="s">
        <v>14</v>
      </c>
      <c r="C126" s="140" t="s">
        <v>15</v>
      </c>
      <c r="D126" s="141">
        <v>0</v>
      </c>
      <c r="E126" s="141">
        <v>4457</v>
      </c>
      <c r="F126" s="141">
        <v>0</v>
      </c>
      <c r="G126" s="141">
        <v>62921</v>
      </c>
      <c r="H126" s="141">
        <v>0</v>
      </c>
      <c r="I126" s="142">
        <f>SUM(F126:H126)</f>
        <v>62921</v>
      </c>
      <c r="J126" s="88">
        <f t="shared" si="56"/>
        <v>1411.7343504599507</v>
      </c>
      <c r="K126" s="107">
        <v>0</v>
      </c>
      <c r="L126" s="108">
        <v>0</v>
      </c>
      <c r="M126" s="107">
        <v>0</v>
      </c>
      <c r="N126" s="107">
        <f t="shared" ref="N126:N129" si="58">SUM(K126:M126)</f>
        <v>0</v>
      </c>
    </row>
    <row r="127" spans="1:14" ht="22.5" customHeight="1">
      <c r="A127" s="1"/>
      <c r="B127" s="139" t="s">
        <v>13</v>
      </c>
      <c r="C127" s="140" t="s">
        <v>12</v>
      </c>
      <c r="D127" s="141">
        <v>33043</v>
      </c>
      <c r="E127" s="141">
        <v>33043</v>
      </c>
      <c r="F127" s="141">
        <v>0</v>
      </c>
      <c r="G127" s="141">
        <v>31266</v>
      </c>
      <c r="H127" s="141">
        <v>0</v>
      </c>
      <c r="I127" s="142">
        <f>SUM(F127:H127)</f>
        <v>31266</v>
      </c>
      <c r="J127" s="88">
        <f t="shared" si="56"/>
        <v>94.622159004932968</v>
      </c>
      <c r="K127" s="107">
        <v>0</v>
      </c>
      <c r="L127" s="108">
        <v>8006</v>
      </c>
      <c r="M127" s="107">
        <v>0</v>
      </c>
      <c r="N127" s="107">
        <f t="shared" si="58"/>
        <v>8006</v>
      </c>
    </row>
    <row r="128" spans="1:14" ht="22.5" customHeight="1">
      <c r="A128" s="1"/>
      <c r="B128" s="139" t="s">
        <v>16</v>
      </c>
      <c r="C128" s="140" t="s">
        <v>17</v>
      </c>
      <c r="D128" s="141">
        <v>299057</v>
      </c>
      <c r="E128" s="141">
        <v>294284</v>
      </c>
      <c r="F128" s="141">
        <v>0</v>
      </c>
      <c r="G128" s="141">
        <v>307056</v>
      </c>
      <c r="H128" s="141">
        <v>0</v>
      </c>
      <c r="I128" s="142">
        <f>SUM(F128:H128)</f>
        <v>307056</v>
      </c>
      <c r="J128" s="88">
        <f t="shared" si="56"/>
        <v>104.34002528170068</v>
      </c>
      <c r="K128" s="107">
        <v>0</v>
      </c>
      <c r="L128" s="108">
        <f>1071+424374</f>
        <v>425445</v>
      </c>
      <c r="M128" s="107">
        <v>0</v>
      </c>
      <c r="N128" s="107">
        <f t="shared" si="58"/>
        <v>425445</v>
      </c>
    </row>
    <row r="129" spans="1:14" ht="22.5" customHeight="1">
      <c r="A129" s="1"/>
      <c r="B129" s="139" t="s">
        <v>59</v>
      </c>
      <c r="C129" s="140" t="s">
        <v>60</v>
      </c>
      <c r="D129" s="141">
        <v>3500</v>
      </c>
      <c r="E129" s="141">
        <v>3950</v>
      </c>
      <c r="F129" s="141">
        <v>0</v>
      </c>
      <c r="G129" s="141">
        <v>6010</v>
      </c>
      <c r="H129" s="141">
        <v>0</v>
      </c>
      <c r="I129" s="142">
        <f>SUM(F129:H129)</f>
        <v>6010</v>
      </c>
      <c r="J129" s="88">
        <f t="shared" si="56"/>
        <v>152.15189873417719</v>
      </c>
      <c r="K129" s="107">
        <v>0</v>
      </c>
      <c r="L129" s="107">
        <v>0</v>
      </c>
      <c r="M129" s="107">
        <v>0</v>
      </c>
      <c r="N129" s="107">
        <f t="shared" si="58"/>
        <v>0</v>
      </c>
    </row>
    <row r="130" spans="1:14" ht="34.5" customHeight="1" thickBot="1">
      <c r="B130" s="32" t="s">
        <v>89</v>
      </c>
      <c r="C130" s="45"/>
      <c r="D130" s="34">
        <f t="shared" ref="D130:I130" si="59">D131+D136+D133+D132+D135+D134</f>
        <v>653265</v>
      </c>
      <c r="E130" s="34">
        <f t="shared" si="59"/>
        <v>592135</v>
      </c>
      <c r="F130" s="34">
        <f t="shared" si="59"/>
        <v>0</v>
      </c>
      <c r="G130" s="34">
        <f t="shared" si="59"/>
        <v>701376</v>
      </c>
      <c r="H130" s="34">
        <f t="shared" si="59"/>
        <v>0</v>
      </c>
      <c r="I130" s="34">
        <f t="shared" si="59"/>
        <v>701376</v>
      </c>
      <c r="J130" s="82">
        <f t="shared" si="42"/>
        <v>118.44866457817895</v>
      </c>
      <c r="K130" s="132">
        <f>K131+K132+K133+K134+K135+K136</f>
        <v>0</v>
      </c>
      <c r="L130" s="132">
        <f t="shared" ref="L130:N130" si="60">L131+L132+L133+L134+L135+L136</f>
        <v>843029</v>
      </c>
      <c r="M130" s="132">
        <f t="shared" si="60"/>
        <v>0</v>
      </c>
      <c r="N130" s="132">
        <f t="shared" si="60"/>
        <v>843029</v>
      </c>
    </row>
    <row r="131" spans="1:14" ht="34.5" customHeight="1" thickTop="1">
      <c r="B131" s="29" t="s">
        <v>9</v>
      </c>
      <c r="C131" s="44" t="s">
        <v>11</v>
      </c>
      <c r="D131" s="41">
        <v>415993</v>
      </c>
      <c r="E131" s="41">
        <v>415993</v>
      </c>
      <c r="F131" s="41">
        <v>0</v>
      </c>
      <c r="G131" s="41">
        <v>455666</v>
      </c>
      <c r="H131" s="41">
        <v>0</v>
      </c>
      <c r="I131" s="74">
        <f t="shared" ref="I131:I136" si="61">SUM(F131:H131)</f>
        <v>455666</v>
      </c>
      <c r="J131" s="81">
        <f t="shared" si="42"/>
        <v>109.53693932349825</v>
      </c>
      <c r="K131" s="107">
        <v>0</v>
      </c>
      <c r="L131" s="107">
        <v>568508</v>
      </c>
      <c r="M131" s="107">
        <v>0</v>
      </c>
      <c r="N131" s="107">
        <f>SUM(K131:M131)</f>
        <v>568508</v>
      </c>
    </row>
    <row r="132" spans="1:14" ht="22.5" customHeight="1">
      <c r="B132" s="14" t="s">
        <v>14</v>
      </c>
      <c r="C132" s="15" t="s">
        <v>15</v>
      </c>
      <c r="D132" s="26">
        <v>13355</v>
      </c>
      <c r="E132" s="26">
        <v>24236</v>
      </c>
      <c r="F132" s="24">
        <v>0</v>
      </c>
      <c r="G132" s="24">
        <v>63640</v>
      </c>
      <c r="H132" s="24">
        <v>0</v>
      </c>
      <c r="I132" s="74">
        <f t="shared" si="61"/>
        <v>63640</v>
      </c>
      <c r="J132" s="79">
        <f t="shared" si="42"/>
        <v>262.58458491500249</v>
      </c>
      <c r="K132" s="107">
        <v>0</v>
      </c>
      <c r="L132" s="108">
        <f>22080+12240</f>
        <v>34320</v>
      </c>
      <c r="M132" s="107">
        <v>0</v>
      </c>
      <c r="N132" s="107">
        <f t="shared" ref="N132:N136" si="62">SUM(K132:M132)</f>
        <v>34320</v>
      </c>
    </row>
    <row r="133" spans="1:14" ht="22.5" customHeight="1">
      <c r="B133" s="14" t="s">
        <v>13</v>
      </c>
      <c r="C133" s="25" t="s">
        <v>12</v>
      </c>
      <c r="D133" s="24">
        <v>77752</v>
      </c>
      <c r="E133" s="24">
        <v>77752</v>
      </c>
      <c r="F133" s="24">
        <v>0</v>
      </c>
      <c r="G133" s="24">
        <v>89390</v>
      </c>
      <c r="H133" s="24">
        <v>0</v>
      </c>
      <c r="I133" s="74">
        <f t="shared" si="61"/>
        <v>89390</v>
      </c>
      <c r="J133" s="79">
        <f t="shared" si="42"/>
        <v>114.96810371437391</v>
      </c>
      <c r="K133" s="107">
        <v>0</v>
      </c>
      <c r="L133" s="108">
        <v>109495</v>
      </c>
      <c r="M133" s="107">
        <v>0</v>
      </c>
      <c r="N133" s="107">
        <f t="shared" si="62"/>
        <v>109495</v>
      </c>
    </row>
    <row r="134" spans="1:14" ht="22.5" customHeight="1">
      <c r="B134" s="14" t="s">
        <v>16</v>
      </c>
      <c r="C134" s="25" t="s">
        <v>17</v>
      </c>
      <c r="D134" s="24">
        <v>78135</v>
      </c>
      <c r="E134" s="24">
        <v>67154</v>
      </c>
      <c r="F134" s="24">
        <v>0</v>
      </c>
      <c r="G134" s="24">
        <v>85708</v>
      </c>
      <c r="H134" s="24">
        <v>0</v>
      </c>
      <c r="I134" s="74">
        <f t="shared" si="61"/>
        <v>85708</v>
      </c>
      <c r="J134" s="79">
        <f t="shared" si="42"/>
        <v>127.62903177770497</v>
      </c>
      <c r="K134" s="107">
        <v>0</v>
      </c>
      <c r="L134" s="108">
        <f>14703+58000</f>
        <v>72703</v>
      </c>
      <c r="M134" s="107">
        <v>0</v>
      </c>
      <c r="N134" s="107">
        <f t="shared" si="62"/>
        <v>72703</v>
      </c>
    </row>
    <row r="135" spans="1:14" ht="22.5" customHeight="1">
      <c r="B135" s="14" t="s">
        <v>59</v>
      </c>
      <c r="C135" s="25" t="s">
        <v>60</v>
      </c>
      <c r="D135" s="24">
        <v>300</v>
      </c>
      <c r="E135" s="24">
        <v>400</v>
      </c>
      <c r="F135" s="24">
        <v>0</v>
      </c>
      <c r="G135" s="24">
        <v>372</v>
      </c>
      <c r="H135" s="24">
        <v>0</v>
      </c>
      <c r="I135" s="74">
        <f t="shared" si="61"/>
        <v>372</v>
      </c>
      <c r="J135" s="79">
        <f t="shared" si="42"/>
        <v>93</v>
      </c>
      <c r="K135" s="107">
        <v>0</v>
      </c>
      <c r="L135" s="108">
        <v>3500</v>
      </c>
      <c r="M135" s="107">
        <v>0</v>
      </c>
      <c r="N135" s="107">
        <f t="shared" si="62"/>
        <v>3500</v>
      </c>
    </row>
    <row r="136" spans="1:14" ht="33" customHeight="1">
      <c r="B136" s="14" t="s">
        <v>61</v>
      </c>
      <c r="C136" s="18" t="s">
        <v>78</v>
      </c>
      <c r="D136" s="24">
        <v>67730</v>
      </c>
      <c r="E136" s="24">
        <v>6600</v>
      </c>
      <c r="F136" s="24">
        <v>0</v>
      </c>
      <c r="G136" s="24">
        <v>6600</v>
      </c>
      <c r="H136" s="24">
        <v>0</v>
      </c>
      <c r="I136" s="74">
        <f t="shared" si="61"/>
        <v>6600</v>
      </c>
      <c r="J136" s="79">
        <f t="shared" si="42"/>
        <v>100</v>
      </c>
      <c r="K136" s="107">
        <v>0</v>
      </c>
      <c r="L136" s="108">
        <v>54503</v>
      </c>
      <c r="M136" s="107">
        <v>0</v>
      </c>
      <c r="N136" s="107">
        <f t="shared" si="62"/>
        <v>54503</v>
      </c>
    </row>
    <row r="137" spans="1:14" ht="32.25" customHeight="1" thickBot="1">
      <c r="B137" s="32" t="s">
        <v>90</v>
      </c>
      <c r="C137" s="35"/>
      <c r="D137" s="42">
        <f>D138+D139</f>
        <v>283293</v>
      </c>
      <c r="E137" s="42">
        <f t="shared" ref="E137:I137" si="63">E138+E139</f>
        <v>267295</v>
      </c>
      <c r="F137" s="42">
        <f t="shared" si="63"/>
        <v>0</v>
      </c>
      <c r="G137" s="42">
        <f t="shared" si="63"/>
        <v>329088</v>
      </c>
      <c r="H137" s="42">
        <f t="shared" si="63"/>
        <v>0</v>
      </c>
      <c r="I137" s="42">
        <f t="shared" si="63"/>
        <v>329088</v>
      </c>
      <c r="J137" s="82">
        <f t="shared" si="42"/>
        <v>123.11790344001945</v>
      </c>
      <c r="K137" s="132">
        <f>K138+K139</f>
        <v>0</v>
      </c>
      <c r="L137" s="132">
        <f t="shared" ref="L137:N137" si="64">L138+L139</f>
        <v>512621</v>
      </c>
      <c r="M137" s="132">
        <f t="shared" si="64"/>
        <v>0</v>
      </c>
      <c r="N137" s="132">
        <f t="shared" si="64"/>
        <v>512621</v>
      </c>
    </row>
    <row r="138" spans="1:14" ht="23.25" customHeight="1" thickTop="1">
      <c r="B138" s="29" t="s">
        <v>16</v>
      </c>
      <c r="C138" s="37" t="s">
        <v>17</v>
      </c>
      <c r="D138" s="41">
        <v>50000</v>
      </c>
      <c r="E138" s="41">
        <v>50000</v>
      </c>
      <c r="F138" s="41">
        <v>0</v>
      </c>
      <c r="G138" s="41">
        <v>111793</v>
      </c>
      <c r="H138" s="41">
        <v>0</v>
      </c>
      <c r="I138" s="71">
        <f>SUM(G138:H138)</f>
        <v>111793</v>
      </c>
      <c r="J138" s="79">
        <f t="shared" si="42"/>
        <v>223.58600000000001</v>
      </c>
      <c r="K138" s="107">
        <v>0</v>
      </c>
      <c r="L138" s="107">
        <v>100000</v>
      </c>
      <c r="M138" s="107">
        <v>0</v>
      </c>
      <c r="N138" s="107">
        <f>SUM(K138:M138)</f>
        <v>100000</v>
      </c>
    </row>
    <row r="139" spans="1:14" ht="32.25" customHeight="1">
      <c r="B139" s="63" t="s">
        <v>61</v>
      </c>
      <c r="C139" s="91" t="s">
        <v>78</v>
      </c>
      <c r="D139" s="48">
        <v>233293</v>
      </c>
      <c r="E139" s="48">
        <v>217295</v>
      </c>
      <c r="F139" s="41">
        <v>0</v>
      </c>
      <c r="G139" s="48">
        <v>217295</v>
      </c>
      <c r="H139" s="48">
        <v>0</v>
      </c>
      <c r="I139" s="74">
        <f>SUM(G139:H139)</f>
        <v>217295</v>
      </c>
      <c r="J139" s="81">
        <f t="shared" si="42"/>
        <v>100</v>
      </c>
      <c r="K139" s="107">
        <v>0</v>
      </c>
      <c r="L139" s="108">
        <v>412621</v>
      </c>
      <c r="M139" s="107">
        <v>0</v>
      </c>
      <c r="N139" s="107">
        <f t="shared" ref="N139" si="65">SUM(K139:M139)</f>
        <v>412621</v>
      </c>
    </row>
    <row r="140" spans="1:14" ht="22.5" customHeight="1" thickBot="1">
      <c r="B140" s="46" t="s">
        <v>55</v>
      </c>
      <c r="C140" s="35"/>
      <c r="D140" s="42">
        <f>D145+D141+D142+D143+D144+D146</f>
        <v>152877</v>
      </c>
      <c r="E140" s="42">
        <f t="shared" ref="E140:I140" si="66">E145+E141+E142+E143+E144+E146</f>
        <v>194009</v>
      </c>
      <c r="F140" s="42">
        <f t="shared" si="66"/>
        <v>0</v>
      </c>
      <c r="G140" s="42">
        <f t="shared" si="66"/>
        <v>195639</v>
      </c>
      <c r="H140" s="42">
        <f t="shared" si="66"/>
        <v>0</v>
      </c>
      <c r="I140" s="42">
        <f t="shared" si="66"/>
        <v>195639</v>
      </c>
      <c r="J140" s="82">
        <f t="shared" si="42"/>
        <v>100.84016720873774</v>
      </c>
      <c r="K140" s="132">
        <f>K141+K142+K143+K144+K145</f>
        <v>0</v>
      </c>
      <c r="L140" s="132">
        <f t="shared" ref="L140:N140" si="67">L141+L142+L143+L144+L145</f>
        <v>155825</v>
      </c>
      <c r="M140" s="132">
        <f t="shared" si="67"/>
        <v>0</v>
      </c>
      <c r="N140" s="132">
        <f t="shared" si="67"/>
        <v>155825</v>
      </c>
    </row>
    <row r="141" spans="1:14" ht="34.5" customHeight="1" thickTop="1">
      <c r="B141" s="29" t="s">
        <v>9</v>
      </c>
      <c r="C141" s="37" t="s">
        <v>11</v>
      </c>
      <c r="D141" s="41">
        <v>26422</v>
      </c>
      <c r="E141" s="41">
        <v>26422</v>
      </c>
      <c r="F141" s="41">
        <v>0</v>
      </c>
      <c r="G141" s="41">
        <v>28341</v>
      </c>
      <c r="H141" s="41">
        <v>0</v>
      </c>
      <c r="I141" s="74">
        <f t="shared" ref="I141:I146" si="68">SUM(F141:H141)</f>
        <v>28341</v>
      </c>
      <c r="J141" s="81">
        <f t="shared" si="42"/>
        <v>107.26288698811597</v>
      </c>
      <c r="K141" s="107">
        <v>0</v>
      </c>
      <c r="L141" s="107">
        <v>29334</v>
      </c>
      <c r="M141" s="107">
        <v>0</v>
      </c>
      <c r="N141" s="107">
        <f>SUM(K141:M141)</f>
        <v>29334</v>
      </c>
    </row>
    <row r="142" spans="1:14" ht="22.5" customHeight="1">
      <c r="B142" s="14" t="s">
        <v>30</v>
      </c>
      <c r="C142" s="15" t="s">
        <v>15</v>
      </c>
      <c r="D142" s="24">
        <v>0</v>
      </c>
      <c r="E142" s="24">
        <v>626</v>
      </c>
      <c r="F142" s="41">
        <v>0</v>
      </c>
      <c r="G142" s="24">
        <v>395</v>
      </c>
      <c r="H142" s="24">
        <v>0</v>
      </c>
      <c r="I142" s="71">
        <f t="shared" si="68"/>
        <v>395</v>
      </c>
      <c r="J142" s="81">
        <f t="shared" si="42"/>
        <v>63.099041533546327</v>
      </c>
      <c r="K142" s="107">
        <v>0</v>
      </c>
      <c r="L142" s="108">
        <v>0</v>
      </c>
      <c r="M142" s="107">
        <v>0</v>
      </c>
      <c r="N142" s="107">
        <f t="shared" ref="N142:N146" si="69">SUM(K142:M142)</f>
        <v>0</v>
      </c>
    </row>
    <row r="143" spans="1:14" ht="22.5" customHeight="1">
      <c r="B143" s="14" t="s">
        <v>13</v>
      </c>
      <c r="C143" s="15" t="s">
        <v>12</v>
      </c>
      <c r="D143" s="24">
        <v>5229</v>
      </c>
      <c r="E143" s="24">
        <v>5229</v>
      </c>
      <c r="F143" s="41">
        <v>0</v>
      </c>
      <c r="G143" s="24">
        <v>5323</v>
      </c>
      <c r="H143" s="24">
        <v>0</v>
      </c>
      <c r="I143" s="71">
        <f t="shared" si="68"/>
        <v>5323</v>
      </c>
      <c r="J143" s="79">
        <f t="shared" si="42"/>
        <v>101.79766685790783</v>
      </c>
      <c r="K143" s="107">
        <v>0</v>
      </c>
      <c r="L143" s="108">
        <v>5650</v>
      </c>
      <c r="M143" s="107">
        <v>0</v>
      </c>
      <c r="N143" s="107">
        <f t="shared" si="69"/>
        <v>5650</v>
      </c>
    </row>
    <row r="144" spans="1:14" ht="22.5" customHeight="1">
      <c r="B144" s="14" t="s">
        <v>16</v>
      </c>
      <c r="C144" s="15" t="s">
        <v>17</v>
      </c>
      <c r="D144" s="24">
        <v>121126</v>
      </c>
      <c r="E144" s="24">
        <v>120438</v>
      </c>
      <c r="F144" s="41">
        <v>0</v>
      </c>
      <c r="G144" s="24">
        <v>120386</v>
      </c>
      <c r="H144" s="24">
        <v>0</v>
      </c>
      <c r="I144" s="71">
        <f t="shared" si="68"/>
        <v>120386</v>
      </c>
      <c r="J144" s="79">
        <f t="shared" si="42"/>
        <v>99.956824258124513</v>
      </c>
      <c r="K144" s="107">
        <v>0</v>
      </c>
      <c r="L144" s="108">
        <f>676+120100</f>
        <v>120776</v>
      </c>
      <c r="M144" s="107">
        <v>0</v>
      </c>
      <c r="N144" s="107">
        <f t="shared" si="69"/>
        <v>120776</v>
      </c>
    </row>
    <row r="145" spans="1:14" ht="22.5" customHeight="1">
      <c r="B145" s="14" t="s">
        <v>59</v>
      </c>
      <c r="C145" s="15" t="s">
        <v>60</v>
      </c>
      <c r="D145" s="24">
        <v>100</v>
      </c>
      <c r="E145" s="24">
        <v>162</v>
      </c>
      <c r="F145" s="41">
        <v>0</v>
      </c>
      <c r="G145" s="24">
        <v>62</v>
      </c>
      <c r="H145" s="24">
        <v>0</v>
      </c>
      <c r="I145" s="71">
        <f t="shared" si="68"/>
        <v>62</v>
      </c>
      <c r="J145" s="79">
        <f t="shared" si="42"/>
        <v>38.271604938271601</v>
      </c>
      <c r="K145" s="107">
        <v>0</v>
      </c>
      <c r="L145" s="108">
        <v>65</v>
      </c>
      <c r="M145" s="107">
        <v>0</v>
      </c>
      <c r="N145" s="107">
        <f t="shared" si="69"/>
        <v>65</v>
      </c>
    </row>
    <row r="146" spans="1:14" ht="22.5" customHeight="1">
      <c r="B146" s="60" t="s">
        <v>61</v>
      </c>
      <c r="C146" s="61" t="s">
        <v>62</v>
      </c>
      <c r="D146" s="62">
        <v>0</v>
      </c>
      <c r="E146" s="62">
        <v>41132</v>
      </c>
      <c r="F146" s="48">
        <v>0</v>
      </c>
      <c r="G146" s="62">
        <v>41132</v>
      </c>
      <c r="H146" s="62">
        <v>0</v>
      </c>
      <c r="I146" s="102">
        <f t="shared" si="68"/>
        <v>41132</v>
      </c>
      <c r="J146" s="88">
        <f t="shared" si="42"/>
        <v>100</v>
      </c>
      <c r="K146" s="117">
        <v>0</v>
      </c>
      <c r="L146" s="116">
        <v>0</v>
      </c>
      <c r="M146" s="117">
        <v>0</v>
      </c>
      <c r="N146" s="117">
        <f t="shared" si="69"/>
        <v>0</v>
      </c>
    </row>
    <row r="147" spans="1:14" ht="22.5" customHeight="1" thickBot="1">
      <c r="B147" s="32" t="s">
        <v>91</v>
      </c>
      <c r="C147" s="39"/>
      <c r="D147" s="42">
        <f t="shared" ref="D147:I147" si="70">D148</f>
        <v>1000</v>
      </c>
      <c r="E147" s="42">
        <f t="shared" si="70"/>
        <v>1000</v>
      </c>
      <c r="F147" s="42">
        <f t="shared" si="70"/>
        <v>0</v>
      </c>
      <c r="G147" s="42">
        <f t="shared" si="70"/>
        <v>15272</v>
      </c>
      <c r="H147" s="42">
        <f t="shared" si="70"/>
        <v>0</v>
      </c>
      <c r="I147" s="42">
        <f t="shared" si="70"/>
        <v>15272</v>
      </c>
      <c r="J147" s="104">
        <f t="shared" si="42"/>
        <v>1527.2</v>
      </c>
      <c r="K147" s="132">
        <f>K148</f>
        <v>0</v>
      </c>
      <c r="L147" s="132">
        <f t="shared" ref="L147:N147" si="71">L148</f>
        <v>14500</v>
      </c>
      <c r="M147" s="132">
        <f t="shared" si="71"/>
        <v>0</v>
      </c>
      <c r="N147" s="132">
        <f t="shared" si="71"/>
        <v>14500</v>
      </c>
    </row>
    <row r="148" spans="1:14" ht="22.5" customHeight="1" thickTop="1">
      <c r="B148" s="29" t="s">
        <v>16</v>
      </c>
      <c r="C148" s="37" t="s">
        <v>17</v>
      </c>
      <c r="D148" s="41">
        <v>1000</v>
      </c>
      <c r="E148" s="41">
        <v>1000</v>
      </c>
      <c r="F148" s="41">
        <v>0</v>
      </c>
      <c r="G148" s="41">
        <v>15272</v>
      </c>
      <c r="H148" s="41">
        <v>0</v>
      </c>
      <c r="I148" s="74">
        <f>SUM(F148:H148)</f>
        <v>15272</v>
      </c>
      <c r="J148" s="105">
        <f t="shared" si="42"/>
        <v>1527.2</v>
      </c>
      <c r="K148" s="107">
        <v>0</v>
      </c>
      <c r="L148" s="107">
        <f>10500+4000</f>
        <v>14500</v>
      </c>
      <c r="M148" s="107">
        <v>0</v>
      </c>
      <c r="N148" s="107">
        <f>SUM(K148:M148)</f>
        <v>14500</v>
      </c>
    </row>
    <row r="149" spans="1:14" ht="22.5" customHeight="1" thickBot="1">
      <c r="B149" s="32" t="s">
        <v>94</v>
      </c>
      <c r="C149" s="39"/>
      <c r="D149" s="42">
        <f t="shared" ref="D149:I149" si="72">D150</f>
        <v>0</v>
      </c>
      <c r="E149" s="42">
        <f t="shared" si="72"/>
        <v>0</v>
      </c>
      <c r="F149" s="42">
        <f t="shared" si="72"/>
        <v>0</v>
      </c>
      <c r="G149" s="42">
        <f t="shared" si="72"/>
        <v>1140</v>
      </c>
      <c r="H149" s="42">
        <f t="shared" si="72"/>
        <v>0</v>
      </c>
      <c r="I149" s="42">
        <f t="shared" si="72"/>
        <v>1140</v>
      </c>
      <c r="J149" s="104">
        <v>0</v>
      </c>
      <c r="K149" s="106">
        <v>0</v>
      </c>
      <c r="L149" s="106">
        <f>L150</f>
        <v>0</v>
      </c>
      <c r="M149" s="106">
        <f>M150</f>
        <v>0</v>
      </c>
      <c r="N149" s="106">
        <f>K149+L149+M149</f>
        <v>0</v>
      </c>
    </row>
    <row r="150" spans="1:14" ht="22.5" customHeight="1" thickTop="1">
      <c r="B150" s="29" t="s">
        <v>16</v>
      </c>
      <c r="C150" s="37" t="s">
        <v>17</v>
      </c>
      <c r="D150" s="41">
        <v>0</v>
      </c>
      <c r="E150" s="41">
        <v>0</v>
      </c>
      <c r="F150" s="41">
        <v>0</v>
      </c>
      <c r="G150" s="41">
        <v>1140</v>
      </c>
      <c r="H150" s="41">
        <v>0</v>
      </c>
      <c r="I150" s="74">
        <f>SUM(F150:H150)</f>
        <v>1140</v>
      </c>
      <c r="J150" s="105">
        <v>0</v>
      </c>
      <c r="K150" s="107">
        <v>0</v>
      </c>
      <c r="L150" s="107">
        <v>0</v>
      </c>
      <c r="M150" s="107">
        <v>0</v>
      </c>
      <c r="N150" s="107">
        <v>0</v>
      </c>
    </row>
    <row r="151" spans="1:14" ht="46.5" customHeight="1">
      <c r="A151" s="1"/>
      <c r="B151" s="49" t="s">
        <v>101</v>
      </c>
      <c r="C151" s="27"/>
      <c r="D151" s="27">
        <f t="shared" ref="D151:N151" si="73">D152+D154+D159+D164+D170+D179+D185+D190</f>
        <v>594083</v>
      </c>
      <c r="E151" s="27">
        <f t="shared" si="73"/>
        <v>656965</v>
      </c>
      <c r="F151" s="27">
        <f>F152+F154+F159+F164+F170+F179+F185+F190</f>
        <v>129266</v>
      </c>
      <c r="G151" s="27">
        <f t="shared" si="73"/>
        <v>511416</v>
      </c>
      <c r="H151" s="27">
        <f t="shared" si="73"/>
        <v>49298</v>
      </c>
      <c r="I151" s="27">
        <f t="shared" si="73"/>
        <v>689980</v>
      </c>
      <c r="J151" s="80">
        <f t="shared" si="42"/>
        <v>105.02538186965819</v>
      </c>
      <c r="K151" s="27">
        <f t="shared" si="73"/>
        <v>146161</v>
      </c>
      <c r="L151" s="27">
        <f t="shared" si="73"/>
        <v>481812</v>
      </c>
      <c r="M151" s="27">
        <f t="shared" si="73"/>
        <v>33420</v>
      </c>
      <c r="N151" s="27">
        <f t="shared" si="73"/>
        <v>661393</v>
      </c>
    </row>
    <row r="152" spans="1:14" ht="22.5" customHeight="1" thickBot="1">
      <c r="B152" s="32" t="s">
        <v>45</v>
      </c>
      <c r="C152" s="35"/>
      <c r="D152" s="35">
        <f>D153</f>
        <v>750</v>
      </c>
      <c r="E152" s="35">
        <f>E153</f>
        <v>5622</v>
      </c>
      <c r="F152" s="35">
        <f>F153</f>
        <v>5166</v>
      </c>
      <c r="G152" s="35">
        <v>0</v>
      </c>
      <c r="H152" s="35">
        <f>H153</f>
        <v>0</v>
      </c>
      <c r="I152" s="35">
        <f>I153</f>
        <v>5166</v>
      </c>
      <c r="J152" s="82">
        <f t="shared" si="42"/>
        <v>91.889007470651023</v>
      </c>
      <c r="K152" s="132">
        <f>K153</f>
        <v>0</v>
      </c>
      <c r="L152" s="132">
        <f t="shared" ref="L152:N152" si="74">L153</f>
        <v>0</v>
      </c>
      <c r="M152" s="132">
        <f t="shared" si="74"/>
        <v>0</v>
      </c>
      <c r="N152" s="132">
        <f t="shared" si="74"/>
        <v>0</v>
      </c>
    </row>
    <row r="153" spans="1:14" ht="22.5" customHeight="1" thickTop="1">
      <c r="B153" s="29" t="s">
        <v>16</v>
      </c>
      <c r="C153" s="37" t="s">
        <v>17</v>
      </c>
      <c r="D153" s="31">
        <v>750</v>
      </c>
      <c r="E153" s="31">
        <v>5622</v>
      </c>
      <c r="F153" s="31">
        <v>5166</v>
      </c>
      <c r="G153" s="31">
        <v>0</v>
      </c>
      <c r="H153" s="31">
        <v>0</v>
      </c>
      <c r="I153" s="74">
        <f>SUM(F153:H153)</f>
        <v>5166</v>
      </c>
      <c r="J153" s="81">
        <f t="shared" si="42"/>
        <v>91.889007470651023</v>
      </c>
      <c r="K153" s="107">
        <v>0</v>
      </c>
      <c r="L153" s="107">
        <v>0</v>
      </c>
      <c r="M153" s="107">
        <v>0</v>
      </c>
      <c r="N153" s="107">
        <v>0</v>
      </c>
    </row>
    <row r="154" spans="1:14" ht="22.5" customHeight="1" thickBot="1">
      <c r="B154" s="46" t="s">
        <v>46</v>
      </c>
      <c r="C154" s="58"/>
      <c r="D154" s="35">
        <f t="shared" ref="D154:I154" si="75">D157+D158+D156+D155</f>
        <v>164650</v>
      </c>
      <c r="E154" s="35">
        <f t="shared" si="75"/>
        <v>164578</v>
      </c>
      <c r="F154" s="35">
        <f t="shared" si="75"/>
        <v>124100</v>
      </c>
      <c r="G154" s="35">
        <f t="shared" si="75"/>
        <v>0</v>
      </c>
      <c r="H154" s="35">
        <f t="shared" si="75"/>
        <v>49298</v>
      </c>
      <c r="I154" s="35">
        <f t="shared" si="75"/>
        <v>173398</v>
      </c>
      <c r="J154" s="82">
        <f t="shared" si="42"/>
        <v>105.35916100572373</v>
      </c>
      <c r="K154" s="132">
        <f>K155+K156+K157+K158</f>
        <v>146161</v>
      </c>
      <c r="L154" s="132">
        <f t="shared" ref="L154:N154" si="76">L155+L156+L157+L158</f>
        <v>0</v>
      </c>
      <c r="M154" s="132">
        <f t="shared" si="76"/>
        <v>33420</v>
      </c>
      <c r="N154" s="132">
        <f t="shared" si="76"/>
        <v>179581</v>
      </c>
    </row>
    <row r="155" spans="1:14" ht="22.5" customHeight="1" thickTop="1">
      <c r="B155" s="29" t="s">
        <v>14</v>
      </c>
      <c r="C155" s="37" t="s">
        <v>15</v>
      </c>
      <c r="D155" s="31">
        <v>0</v>
      </c>
      <c r="E155" s="31">
        <v>0</v>
      </c>
      <c r="F155" s="31">
        <v>0</v>
      </c>
      <c r="G155" s="31">
        <v>0</v>
      </c>
      <c r="H155" s="31">
        <v>3780</v>
      </c>
      <c r="I155" s="31">
        <f>SUM(F155:H155)</f>
        <v>3780</v>
      </c>
      <c r="J155" s="93"/>
      <c r="K155" s="107">
        <v>0</v>
      </c>
      <c r="L155" s="107">
        <v>0</v>
      </c>
      <c r="M155" s="107">
        <v>4440</v>
      </c>
      <c r="N155" s="107">
        <f>SUM(K155:M155)</f>
        <v>4440</v>
      </c>
    </row>
    <row r="156" spans="1:14" ht="22.5" customHeight="1">
      <c r="B156" s="29" t="s">
        <v>16</v>
      </c>
      <c r="C156" s="37" t="s">
        <v>17</v>
      </c>
      <c r="D156" s="31">
        <v>0</v>
      </c>
      <c r="E156" s="31">
        <v>4883</v>
      </c>
      <c r="F156" s="31">
        <v>0</v>
      </c>
      <c r="G156" s="31">
        <v>0</v>
      </c>
      <c r="H156" s="31">
        <v>7105</v>
      </c>
      <c r="I156" s="31">
        <f>SUM(F156:H156)</f>
        <v>7105</v>
      </c>
      <c r="J156" s="81">
        <f t="shared" si="42"/>
        <v>145.50481261519556</v>
      </c>
      <c r="K156" s="108">
        <v>0</v>
      </c>
      <c r="L156" s="108">
        <v>0</v>
      </c>
      <c r="M156" s="108">
        <v>0</v>
      </c>
      <c r="N156" s="107">
        <f>SUM(K156:M156)</f>
        <v>0</v>
      </c>
    </row>
    <row r="157" spans="1:14" ht="22.5" customHeight="1">
      <c r="B157" s="22" t="s">
        <v>25</v>
      </c>
      <c r="C157" s="15" t="s">
        <v>26</v>
      </c>
      <c r="D157" s="16">
        <v>144650</v>
      </c>
      <c r="E157" s="16">
        <v>128267</v>
      </c>
      <c r="F157" s="16">
        <v>124100</v>
      </c>
      <c r="G157" s="16">
        <v>0</v>
      </c>
      <c r="H157" s="16">
        <v>6985</v>
      </c>
      <c r="I157" s="16">
        <f>SUM(F157:H157)</f>
        <v>131085</v>
      </c>
      <c r="J157" s="81">
        <f t="shared" si="42"/>
        <v>102.19697973757864</v>
      </c>
      <c r="K157" s="108">
        <v>142375</v>
      </c>
      <c r="L157" s="108">
        <v>0</v>
      </c>
      <c r="M157" s="108">
        <v>28980</v>
      </c>
      <c r="N157" s="108">
        <f>SUM(K157:M157)</f>
        <v>171355</v>
      </c>
    </row>
    <row r="158" spans="1:14" ht="31.5" customHeight="1">
      <c r="B158" s="22" t="s">
        <v>61</v>
      </c>
      <c r="C158" s="18" t="s">
        <v>78</v>
      </c>
      <c r="D158" s="16">
        <v>20000</v>
      </c>
      <c r="E158" s="16">
        <v>31428</v>
      </c>
      <c r="F158" s="16">
        <v>0</v>
      </c>
      <c r="G158" s="16">
        <v>0</v>
      </c>
      <c r="H158" s="16">
        <v>31428</v>
      </c>
      <c r="I158" s="16">
        <f>SUM(F158:H158)</f>
        <v>31428</v>
      </c>
      <c r="J158" s="79">
        <f t="shared" si="42"/>
        <v>100</v>
      </c>
      <c r="K158" s="108">
        <v>3786</v>
      </c>
      <c r="L158" s="108">
        <v>0</v>
      </c>
      <c r="M158" s="108">
        <v>0</v>
      </c>
      <c r="N158" s="108">
        <v>3786</v>
      </c>
    </row>
    <row r="159" spans="1:14" ht="22.5" customHeight="1" thickBot="1">
      <c r="B159" s="46" t="s">
        <v>47</v>
      </c>
      <c r="C159" s="45"/>
      <c r="D159" s="35">
        <f t="shared" ref="D159:I159" si="77">D160+D163+D162+D161</f>
        <v>14587</v>
      </c>
      <c r="E159" s="35">
        <f t="shared" si="77"/>
        <v>14587</v>
      </c>
      <c r="F159" s="35">
        <f t="shared" si="77"/>
        <v>0</v>
      </c>
      <c r="G159" s="35">
        <f t="shared" si="77"/>
        <v>14741</v>
      </c>
      <c r="H159" s="35">
        <f t="shared" si="77"/>
        <v>0</v>
      </c>
      <c r="I159" s="35">
        <f t="shared" si="77"/>
        <v>14741</v>
      </c>
      <c r="J159" s="82">
        <f t="shared" si="42"/>
        <v>101.05573455816823</v>
      </c>
      <c r="K159" s="132">
        <f>K160+K161+K162+K163</f>
        <v>0</v>
      </c>
      <c r="L159" s="132">
        <f t="shared" ref="L159:N159" si="78">L160+L161+L162+L163</f>
        <v>15408</v>
      </c>
      <c r="M159" s="132">
        <f t="shared" si="78"/>
        <v>0</v>
      </c>
      <c r="N159" s="132">
        <f t="shared" si="78"/>
        <v>15408</v>
      </c>
    </row>
    <row r="160" spans="1:14" ht="34.5" customHeight="1" thickTop="1">
      <c r="B160" s="29" t="s">
        <v>9</v>
      </c>
      <c r="C160" s="44" t="s">
        <v>11</v>
      </c>
      <c r="D160" s="31">
        <v>9540</v>
      </c>
      <c r="E160" s="31">
        <v>9540</v>
      </c>
      <c r="F160" s="31">
        <v>0</v>
      </c>
      <c r="G160" s="31">
        <v>9212</v>
      </c>
      <c r="H160" s="31">
        <v>0</v>
      </c>
      <c r="I160" s="74">
        <f>SUM(F160:H160)</f>
        <v>9212</v>
      </c>
      <c r="J160" s="81">
        <f t="shared" si="42"/>
        <v>96.561844863731665</v>
      </c>
      <c r="K160" s="107">
        <v>0</v>
      </c>
      <c r="L160" s="107">
        <v>10174</v>
      </c>
      <c r="M160" s="107">
        <v>0</v>
      </c>
      <c r="N160" s="107">
        <f>SUM(K160:M160)</f>
        <v>10174</v>
      </c>
    </row>
    <row r="161" spans="2:14" ht="22.5" customHeight="1">
      <c r="B161" s="14" t="s">
        <v>14</v>
      </c>
      <c r="C161" s="25" t="s">
        <v>15</v>
      </c>
      <c r="D161" s="16">
        <v>0</v>
      </c>
      <c r="E161" s="16">
        <v>263</v>
      </c>
      <c r="F161" s="16">
        <v>0</v>
      </c>
      <c r="G161" s="16">
        <v>246</v>
      </c>
      <c r="H161" s="16">
        <v>0</v>
      </c>
      <c r="I161" s="71">
        <f>SUM(F161:H161)</f>
        <v>246</v>
      </c>
      <c r="J161" s="79"/>
      <c r="K161" s="107">
        <v>0</v>
      </c>
      <c r="L161" s="108"/>
      <c r="M161" s="107">
        <v>0</v>
      </c>
      <c r="N161" s="107">
        <f t="shared" ref="N161:N163" si="79">SUM(K161:M161)</f>
        <v>0</v>
      </c>
    </row>
    <row r="162" spans="2:14" ht="22.5" customHeight="1">
      <c r="B162" s="14" t="s">
        <v>13</v>
      </c>
      <c r="C162" s="25" t="s">
        <v>12</v>
      </c>
      <c r="D162" s="16">
        <v>1784</v>
      </c>
      <c r="E162" s="16">
        <v>1784</v>
      </c>
      <c r="F162" s="31">
        <v>0</v>
      </c>
      <c r="G162" s="31">
        <v>1773</v>
      </c>
      <c r="H162" s="16">
        <v>0</v>
      </c>
      <c r="I162" s="71">
        <f>SUM(F162:H162)</f>
        <v>1773</v>
      </c>
      <c r="J162" s="79">
        <f t="shared" si="42"/>
        <v>99.383408071748875</v>
      </c>
      <c r="K162" s="107">
        <v>0</v>
      </c>
      <c r="L162" s="108">
        <v>1959</v>
      </c>
      <c r="M162" s="107">
        <v>0</v>
      </c>
      <c r="N162" s="107">
        <f t="shared" si="79"/>
        <v>1959</v>
      </c>
    </row>
    <row r="163" spans="2:14" ht="23.25" customHeight="1">
      <c r="B163" s="14" t="s">
        <v>16</v>
      </c>
      <c r="C163" s="15" t="s">
        <v>17</v>
      </c>
      <c r="D163" s="16">
        <v>3263</v>
      </c>
      <c r="E163" s="16">
        <v>3000</v>
      </c>
      <c r="F163" s="16">
        <v>0</v>
      </c>
      <c r="G163" s="16">
        <v>3510</v>
      </c>
      <c r="H163" s="16">
        <v>0</v>
      </c>
      <c r="I163" s="71">
        <f>SUM(F163:H163)</f>
        <v>3510</v>
      </c>
      <c r="J163" s="79">
        <f t="shared" si="42"/>
        <v>117</v>
      </c>
      <c r="K163" s="107">
        <v>0</v>
      </c>
      <c r="L163" s="108">
        <f>275+3000</f>
        <v>3275</v>
      </c>
      <c r="M163" s="107">
        <v>0</v>
      </c>
      <c r="N163" s="107">
        <f t="shared" si="79"/>
        <v>3275</v>
      </c>
    </row>
    <row r="164" spans="2:14" ht="22.5" customHeight="1" thickBot="1">
      <c r="B164" s="32" t="s">
        <v>48</v>
      </c>
      <c r="C164" s="35"/>
      <c r="D164" s="35">
        <f t="shared" ref="D164:I164" si="80">D167+D165+D166+D168+D169</f>
        <v>57450</v>
      </c>
      <c r="E164" s="35">
        <f t="shared" si="80"/>
        <v>85255</v>
      </c>
      <c r="F164" s="35">
        <f t="shared" si="80"/>
        <v>0</v>
      </c>
      <c r="G164" s="35">
        <f t="shared" si="80"/>
        <v>97552</v>
      </c>
      <c r="H164" s="35">
        <f t="shared" si="80"/>
        <v>0</v>
      </c>
      <c r="I164" s="35">
        <f t="shared" si="80"/>
        <v>97552</v>
      </c>
      <c r="J164" s="82">
        <f t="shared" si="42"/>
        <v>114.42378746114596</v>
      </c>
      <c r="K164" s="132">
        <f>K165+K166+K167+K168+K169</f>
        <v>0</v>
      </c>
      <c r="L164" s="132">
        <f t="shared" ref="L164:N164" si="81">L165+L166+L167+L168+L169</f>
        <v>67450</v>
      </c>
      <c r="M164" s="132">
        <f t="shared" si="81"/>
        <v>0</v>
      </c>
      <c r="N164" s="132">
        <f t="shared" si="81"/>
        <v>67450</v>
      </c>
    </row>
    <row r="165" spans="2:14" ht="22.5" customHeight="1" thickTop="1">
      <c r="B165" s="60" t="s">
        <v>14</v>
      </c>
      <c r="C165" s="61" t="s">
        <v>15</v>
      </c>
      <c r="D165" s="64">
        <v>0</v>
      </c>
      <c r="E165" s="64">
        <v>9977</v>
      </c>
      <c r="F165" s="64">
        <v>0</v>
      </c>
      <c r="G165" s="64">
        <v>10686</v>
      </c>
      <c r="H165" s="64">
        <v>0</v>
      </c>
      <c r="I165" s="64">
        <f>SUM(F165:H165)</f>
        <v>10686</v>
      </c>
      <c r="J165" s="81">
        <f t="shared" si="42"/>
        <v>107.10634459256289</v>
      </c>
      <c r="K165" s="107">
        <v>0</v>
      </c>
      <c r="L165" s="107">
        <v>0</v>
      </c>
      <c r="M165" s="107">
        <v>0</v>
      </c>
      <c r="N165" s="107">
        <f>SUM(K165:M165)</f>
        <v>0</v>
      </c>
    </row>
    <row r="166" spans="2:14" ht="22.5" customHeight="1">
      <c r="B166" s="60" t="s">
        <v>13</v>
      </c>
      <c r="C166" s="61" t="s">
        <v>12</v>
      </c>
      <c r="D166" s="64">
        <v>0</v>
      </c>
      <c r="E166" s="64">
        <v>755</v>
      </c>
      <c r="F166" s="64">
        <v>0</v>
      </c>
      <c r="G166" s="64">
        <v>778</v>
      </c>
      <c r="H166" s="64">
        <v>0</v>
      </c>
      <c r="I166" s="64">
        <f>SUM(F166:H166)</f>
        <v>778</v>
      </c>
      <c r="J166" s="79">
        <f t="shared" si="42"/>
        <v>103.04635761589405</v>
      </c>
      <c r="K166" s="107">
        <v>0</v>
      </c>
      <c r="L166" s="107">
        <v>0</v>
      </c>
      <c r="M166" s="107">
        <v>0</v>
      </c>
      <c r="N166" s="107">
        <f t="shared" ref="N166:N169" si="82">SUM(K166:M166)</f>
        <v>0</v>
      </c>
    </row>
    <row r="167" spans="2:14" ht="22.5" customHeight="1">
      <c r="B167" s="14" t="s">
        <v>27</v>
      </c>
      <c r="C167" s="25" t="s">
        <v>17</v>
      </c>
      <c r="D167" s="16">
        <v>57450</v>
      </c>
      <c r="E167" s="16">
        <v>73863</v>
      </c>
      <c r="F167" s="64">
        <v>0</v>
      </c>
      <c r="G167" s="16">
        <v>84671</v>
      </c>
      <c r="H167" s="16">
        <v>0</v>
      </c>
      <c r="I167" s="64">
        <f>SUM(F167:H167)</f>
        <v>84671</v>
      </c>
      <c r="J167" s="81">
        <f t="shared" si="42"/>
        <v>114.63249529534407</v>
      </c>
      <c r="K167" s="107">
        <v>0</v>
      </c>
      <c r="L167" s="108">
        <v>67450</v>
      </c>
      <c r="M167" s="107">
        <v>0</v>
      </c>
      <c r="N167" s="107">
        <f t="shared" si="82"/>
        <v>67450</v>
      </c>
    </row>
    <row r="168" spans="2:14" ht="22.5" customHeight="1">
      <c r="B168" s="60" t="s">
        <v>67</v>
      </c>
      <c r="C168" s="25" t="s">
        <v>24</v>
      </c>
      <c r="D168" s="64">
        <v>0</v>
      </c>
      <c r="E168" s="64">
        <v>660</v>
      </c>
      <c r="F168" s="64">
        <v>0</v>
      </c>
      <c r="G168" s="64">
        <v>660</v>
      </c>
      <c r="H168" s="64">
        <v>0</v>
      </c>
      <c r="I168" s="64">
        <f>SUM(F168:H168)</f>
        <v>660</v>
      </c>
      <c r="J168" s="88">
        <v>0</v>
      </c>
      <c r="K168" s="107">
        <v>0</v>
      </c>
      <c r="L168" s="107">
        <v>0</v>
      </c>
      <c r="M168" s="107">
        <v>0</v>
      </c>
      <c r="N168" s="107">
        <f t="shared" si="82"/>
        <v>0</v>
      </c>
    </row>
    <row r="169" spans="2:14" ht="22.5" customHeight="1">
      <c r="B169" s="60" t="s">
        <v>77</v>
      </c>
      <c r="C169" s="92" t="s">
        <v>26</v>
      </c>
      <c r="D169" s="64">
        <v>0</v>
      </c>
      <c r="E169" s="64">
        <v>0</v>
      </c>
      <c r="F169" s="64">
        <v>0</v>
      </c>
      <c r="G169" s="64">
        <v>757</v>
      </c>
      <c r="H169" s="64">
        <v>0</v>
      </c>
      <c r="I169" s="64">
        <f>SUM(F169:H169)</f>
        <v>757</v>
      </c>
      <c r="J169" s="88">
        <v>0</v>
      </c>
      <c r="K169" s="107">
        <v>0</v>
      </c>
      <c r="L169" s="107">
        <v>0</v>
      </c>
      <c r="M169" s="107">
        <v>0</v>
      </c>
      <c r="N169" s="107">
        <f t="shared" si="82"/>
        <v>0</v>
      </c>
    </row>
    <row r="170" spans="2:14" ht="22.5" customHeight="1" thickBot="1">
      <c r="B170" s="46" t="s">
        <v>49</v>
      </c>
      <c r="C170" s="35"/>
      <c r="D170" s="35">
        <f t="shared" ref="D170:I170" si="83">D171+D178+D174+D173+D172+D177+D175+D176</f>
        <v>217075</v>
      </c>
      <c r="E170" s="35">
        <f t="shared" si="83"/>
        <v>247352</v>
      </c>
      <c r="F170" s="35">
        <f t="shared" si="83"/>
        <v>0</v>
      </c>
      <c r="G170" s="35">
        <f t="shared" si="83"/>
        <v>243492</v>
      </c>
      <c r="H170" s="35">
        <f t="shared" si="83"/>
        <v>0</v>
      </c>
      <c r="I170" s="35">
        <f t="shared" si="83"/>
        <v>243492</v>
      </c>
      <c r="J170" s="82">
        <f t="shared" ref="J170:J210" si="84">I170/E170*100</f>
        <v>98.439470875513436</v>
      </c>
      <c r="K170" s="132">
        <f>K171+K172+K173+K174+K175+K176+K177+K178</f>
        <v>0</v>
      </c>
      <c r="L170" s="132">
        <f t="shared" ref="L170:N170" si="85">L171+L172+L173+L174+L175+L176+L177+L178</f>
        <v>231362</v>
      </c>
      <c r="M170" s="132">
        <f t="shared" si="85"/>
        <v>0</v>
      </c>
      <c r="N170" s="132">
        <f t="shared" si="85"/>
        <v>231362</v>
      </c>
    </row>
    <row r="171" spans="2:14" ht="34.5" customHeight="1" thickTop="1">
      <c r="B171" s="29" t="s">
        <v>9</v>
      </c>
      <c r="C171" s="37" t="s">
        <v>11</v>
      </c>
      <c r="D171" s="31">
        <v>57427</v>
      </c>
      <c r="E171" s="31">
        <v>57427</v>
      </c>
      <c r="F171" s="31">
        <v>0</v>
      </c>
      <c r="G171" s="31">
        <v>51581</v>
      </c>
      <c r="H171" s="31">
        <v>0</v>
      </c>
      <c r="I171" s="74">
        <f>SUM(F171:H171)</f>
        <v>51581</v>
      </c>
      <c r="J171" s="81">
        <f t="shared" si="84"/>
        <v>89.820119456005017</v>
      </c>
      <c r="K171" s="107">
        <v>0</v>
      </c>
      <c r="L171" s="107">
        <v>62031</v>
      </c>
      <c r="M171" s="107">
        <v>0</v>
      </c>
      <c r="N171" s="107">
        <f>SUM(K171:M171)</f>
        <v>62031</v>
      </c>
    </row>
    <row r="172" spans="2:14" ht="22.5" customHeight="1">
      <c r="B172" s="14" t="s">
        <v>14</v>
      </c>
      <c r="C172" s="15" t="s">
        <v>15</v>
      </c>
      <c r="D172" s="16">
        <v>10080</v>
      </c>
      <c r="E172" s="16">
        <v>11494</v>
      </c>
      <c r="F172" s="16">
        <v>0</v>
      </c>
      <c r="G172" s="16">
        <v>15080</v>
      </c>
      <c r="H172" s="16">
        <v>0</v>
      </c>
      <c r="I172" s="71">
        <f t="shared" ref="I172:I178" si="86">SUM(F172:H172)</f>
        <v>15080</v>
      </c>
      <c r="J172" s="81">
        <f t="shared" si="84"/>
        <v>131.19888637550025</v>
      </c>
      <c r="K172" s="107">
        <v>0</v>
      </c>
      <c r="L172" s="108">
        <v>0</v>
      </c>
      <c r="M172" s="107">
        <v>0</v>
      </c>
      <c r="N172" s="107">
        <f t="shared" ref="N172:N178" si="87">SUM(K172:M172)</f>
        <v>0</v>
      </c>
    </row>
    <row r="173" spans="2:14" ht="22.5" customHeight="1">
      <c r="B173" s="14" t="s">
        <v>13</v>
      </c>
      <c r="C173" s="15" t="s">
        <v>12</v>
      </c>
      <c r="D173" s="16">
        <v>10739</v>
      </c>
      <c r="E173" s="16">
        <v>10739</v>
      </c>
      <c r="F173" s="31">
        <v>0</v>
      </c>
      <c r="G173" s="16">
        <v>10100</v>
      </c>
      <c r="H173" s="16">
        <v>0</v>
      </c>
      <c r="I173" s="71">
        <f t="shared" si="86"/>
        <v>10100</v>
      </c>
      <c r="J173" s="79">
        <f t="shared" si="84"/>
        <v>94.049725300307301</v>
      </c>
      <c r="K173" s="107">
        <v>0</v>
      </c>
      <c r="L173" s="108">
        <v>11947</v>
      </c>
      <c r="M173" s="107">
        <v>0</v>
      </c>
      <c r="N173" s="107">
        <f t="shared" si="87"/>
        <v>11947</v>
      </c>
    </row>
    <row r="174" spans="2:14" ht="22.5" customHeight="1">
      <c r="B174" s="14" t="s">
        <v>65</v>
      </c>
      <c r="C174" s="15" t="s">
        <v>17</v>
      </c>
      <c r="D174" s="16">
        <v>36529</v>
      </c>
      <c r="E174" s="16">
        <v>53303</v>
      </c>
      <c r="F174" s="16">
        <v>0</v>
      </c>
      <c r="G174" s="16">
        <v>68635</v>
      </c>
      <c r="H174" s="16">
        <v>0</v>
      </c>
      <c r="I174" s="71">
        <f t="shared" si="86"/>
        <v>68635</v>
      </c>
      <c r="J174" s="79">
        <f t="shared" si="84"/>
        <v>128.76385944505938</v>
      </c>
      <c r="K174" s="107">
        <v>0</v>
      </c>
      <c r="L174" s="108">
        <v>47943</v>
      </c>
      <c r="M174" s="107">
        <v>0</v>
      </c>
      <c r="N174" s="107">
        <f t="shared" si="87"/>
        <v>47943</v>
      </c>
    </row>
    <row r="175" spans="2:14" ht="22.5" customHeight="1">
      <c r="B175" s="14" t="s">
        <v>59</v>
      </c>
      <c r="C175" s="15" t="s">
        <v>60</v>
      </c>
      <c r="D175" s="16">
        <v>0</v>
      </c>
      <c r="E175" s="16">
        <v>0</v>
      </c>
      <c r="F175" s="31">
        <v>0</v>
      </c>
      <c r="G175" s="16">
        <v>40</v>
      </c>
      <c r="H175" s="16">
        <v>0</v>
      </c>
      <c r="I175" s="71">
        <f t="shared" si="86"/>
        <v>40</v>
      </c>
      <c r="J175" s="79">
        <v>0</v>
      </c>
      <c r="K175" s="107">
        <v>0</v>
      </c>
      <c r="L175" s="108">
        <v>0</v>
      </c>
      <c r="M175" s="107">
        <v>0</v>
      </c>
      <c r="N175" s="107">
        <f t="shared" si="87"/>
        <v>0</v>
      </c>
    </row>
    <row r="176" spans="2:14" ht="22.5" customHeight="1">
      <c r="B176" s="14" t="s">
        <v>67</v>
      </c>
      <c r="C176" s="15" t="s">
        <v>24</v>
      </c>
      <c r="D176" s="16">
        <v>0</v>
      </c>
      <c r="E176" s="16">
        <v>20</v>
      </c>
      <c r="F176" s="31">
        <v>0</v>
      </c>
      <c r="G176" s="16">
        <v>9470</v>
      </c>
      <c r="H176" s="16">
        <v>0</v>
      </c>
      <c r="I176" s="71">
        <f t="shared" si="86"/>
        <v>9470</v>
      </c>
      <c r="J176" s="79"/>
      <c r="K176" s="107">
        <v>0</v>
      </c>
      <c r="L176" s="108">
        <v>0</v>
      </c>
      <c r="M176" s="107">
        <v>0</v>
      </c>
      <c r="N176" s="107">
        <f t="shared" si="87"/>
        <v>0</v>
      </c>
    </row>
    <row r="177" spans="2:14" ht="22.5" customHeight="1">
      <c r="B177" s="14" t="s">
        <v>66</v>
      </c>
      <c r="C177" s="15" t="s">
        <v>26</v>
      </c>
      <c r="D177" s="16">
        <v>60300</v>
      </c>
      <c r="E177" s="16">
        <v>60300</v>
      </c>
      <c r="F177" s="16">
        <v>0</v>
      </c>
      <c r="G177" s="16">
        <v>60020</v>
      </c>
      <c r="H177" s="16">
        <v>0</v>
      </c>
      <c r="I177" s="71">
        <f t="shared" si="86"/>
        <v>60020</v>
      </c>
      <c r="J177" s="79">
        <f t="shared" si="84"/>
        <v>99.535655058043119</v>
      </c>
      <c r="K177" s="107">
        <v>0</v>
      </c>
      <c r="L177" s="108">
        <v>62900</v>
      </c>
      <c r="M177" s="107">
        <v>0</v>
      </c>
      <c r="N177" s="107">
        <f t="shared" si="87"/>
        <v>62900</v>
      </c>
    </row>
    <row r="178" spans="2:14" ht="23.25" customHeight="1">
      <c r="B178" s="14" t="s">
        <v>61</v>
      </c>
      <c r="C178" s="90" t="s">
        <v>70</v>
      </c>
      <c r="D178" s="16">
        <v>42000</v>
      </c>
      <c r="E178" s="16">
        <v>54069</v>
      </c>
      <c r="F178" s="31">
        <v>0</v>
      </c>
      <c r="G178" s="16">
        <v>28566</v>
      </c>
      <c r="H178" s="16">
        <v>0</v>
      </c>
      <c r="I178" s="71">
        <f t="shared" si="86"/>
        <v>28566</v>
      </c>
      <c r="J178" s="79">
        <f t="shared" si="84"/>
        <v>52.832491816012869</v>
      </c>
      <c r="K178" s="107">
        <v>0</v>
      </c>
      <c r="L178" s="108">
        <v>46541</v>
      </c>
      <c r="M178" s="107">
        <v>0</v>
      </c>
      <c r="N178" s="107">
        <f t="shared" si="87"/>
        <v>46541</v>
      </c>
    </row>
    <row r="179" spans="2:14" ht="22.5" customHeight="1" thickBot="1">
      <c r="B179" s="32" t="s">
        <v>50</v>
      </c>
      <c r="C179" s="47"/>
      <c r="D179" s="35">
        <f t="shared" ref="D179:I179" si="88">D180+D184+D182+D181+D183</f>
        <v>23423</v>
      </c>
      <c r="E179" s="35">
        <f t="shared" si="88"/>
        <v>23423</v>
      </c>
      <c r="F179" s="35">
        <f t="shared" si="88"/>
        <v>0</v>
      </c>
      <c r="G179" s="35">
        <f t="shared" si="88"/>
        <v>25987</v>
      </c>
      <c r="H179" s="35">
        <f t="shared" si="88"/>
        <v>0</v>
      </c>
      <c r="I179" s="35">
        <f t="shared" si="88"/>
        <v>25987</v>
      </c>
      <c r="J179" s="82">
        <f t="shared" si="84"/>
        <v>110.94650557144688</v>
      </c>
      <c r="K179" s="132">
        <f>K180+K181+K182+K183+K184</f>
        <v>0</v>
      </c>
      <c r="L179" s="132">
        <f t="shared" ref="L179:N179" si="89">L180+L181+L182+L183+L184</f>
        <v>27060</v>
      </c>
      <c r="M179" s="132">
        <f t="shared" si="89"/>
        <v>0</v>
      </c>
      <c r="N179" s="132">
        <f t="shared" si="89"/>
        <v>27060</v>
      </c>
    </row>
    <row r="180" spans="2:14" ht="34.5" customHeight="1" thickTop="1">
      <c r="B180" s="29" t="s">
        <v>9</v>
      </c>
      <c r="C180" s="44" t="s">
        <v>11</v>
      </c>
      <c r="D180" s="31">
        <v>17098</v>
      </c>
      <c r="E180" s="31">
        <v>17098</v>
      </c>
      <c r="F180" s="31">
        <v>0</v>
      </c>
      <c r="G180" s="31">
        <v>18144</v>
      </c>
      <c r="H180" s="31">
        <v>0</v>
      </c>
      <c r="I180" s="74">
        <f>SUM(F180:H180)</f>
        <v>18144</v>
      </c>
      <c r="J180" s="81">
        <f t="shared" si="84"/>
        <v>106.11767458182244</v>
      </c>
      <c r="K180" s="107">
        <v>0</v>
      </c>
      <c r="L180" s="107">
        <v>19206</v>
      </c>
      <c r="M180" s="107">
        <v>0</v>
      </c>
      <c r="N180" s="107">
        <f>SUM(K180:M180)</f>
        <v>19206</v>
      </c>
    </row>
    <row r="181" spans="2:14" ht="22.5" customHeight="1">
      <c r="B181" s="14" t="s">
        <v>14</v>
      </c>
      <c r="C181" s="15" t="s">
        <v>15</v>
      </c>
      <c r="D181" s="16">
        <v>0</v>
      </c>
      <c r="E181" s="16">
        <v>427</v>
      </c>
      <c r="F181" s="31">
        <v>0</v>
      </c>
      <c r="G181" s="16">
        <v>409</v>
      </c>
      <c r="H181" s="31">
        <v>0</v>
      </c>
      <c r="I181" s="71">
        <f>SUM(F181:H181)</f>
        <v>409</v>
      </c>
      <c r="J181" s="81">
        <f t="shared" si="84"/>
        <v>95.784543325526926</v>
      </c>
      <c r="K181" s="107">
        <v>0</v>
      </c>
      <c r="L181" s="108">
        <v>0</v>
      </c>
      <c r="M181" s="107">
        <v>0</v>
      </c>
      <c r="N181" s="107">
        <f t="shared" ref="N181:N184" si="90">SUM(K181:M181)</f>
        <v>0</v>
      </c>
    </row>
    <row r="182" spans="2:14" ht="22.5" customHeight="1">
      <c r="B182" s="14" t="s">
        <v>13</v>
      </c>
      <c r="C182" s="25" t="s">
        <v>12</v>
      </c>
      <c r="D182" s="16">
        <v>3198</v>
      </c>
      <c r="E182" s="16">
        <v>3198</v>
      </c>
      <c r="F182" s="31">
        <v>0</v>
      </c>
      <c r="G182" s="16">
        <v>3469</v>
      </c>
      <c r="H182" s="31">
        <v>0</v>
      </c>
      <c r="I182" s="71">
        <f>SUM(F182:H182)</f>
        <v>3469</v>
      </c>
      <c r="J182" s="79">
        <f t="shared" si="84"/>
        <v>108.47404627892432</v>
      </c>
      <c r="K182" s="107">
        <v>0</v>
      </c>
      <c r="L182" s="108">
        <v>3699</v>
      </c>
      <c r="M182" s="107">
        <v>0</v>
      </c>
      <c r="N182" s="107">
        <f t="shared" si="90"/>
        <v>3699</v>
      </c>
    </row>
    <row r="183" spans="2:14" ht="22.5" customHeight="1">
      <c r="B183" s="14" t="s">
        <v>16</v>
      </c>
      <c r="C183" s="25" t="s">
        <v>17</v>
      </c>
      <c r="D183" s="16">
        <v>3027</v>
      </c>
      <c r="E183" s="16">
        <v>2565</v>
      </c>
      <c r="F183" s="31">
        <v>0</v>
      </c>
      <c r="G183" s="16">
        <v>3885</v>
      </c>
      <c r="H183" s="31">
        <v>0</v>
      </c>
      <c r="I183" s="71">
        <f>SUM(F183:H183)</f>
        <v>3885</v>
      </c>
      <c r="J183" s="79">
        <f t="shared" si="84"/>
        <v>151.46198830409355</v>
      </c>
      <c r="K183" s="107">
        <v>0</v>
      </c>
      <c r="L183" s="108">
        <f>475+3600</f>
        <v>4075</v>
      </c>
      <c r="M183" s="107">
        <v>0</v>
      </c>
      <c r="N183" s="107">
        <f t="shared" si="90"/>
        <v>4075</v>
      </c>
    </row>
    <row r="184" spans="2:14" ht="22.5" customHeight="1">
      <c r="B184" s="14" t="s">
        <v>59</v>
      </c>
      <c r="C184" s="15" t="s">
        <v>60</v>
      </c>
      <c r="D184" s="16">
        <v>100</v>
      </c>
      <c r="E184" s="16">
        <v>135</v>
      </c>
      <c r="F184" s="31">
        <v>0</v>
      </c>
      <c r="G184" s="16">
        <v>80</v>
      </c>
      <c r="H184" s="31">
        <v>0</v>
      </c>
      <c r="I184" s="71">
        <f>SUM(F184:H184)</f>
        <v>80</v>
      </c>
      <c r="J184" s="79">
        <f t="shared" si="84"/>
        <v>59.259259259259252</v>
      </c>
      <c r="K184" s="107">
        <v>0</v>
      </c>
      <c r="L184" s="108">
        <v>80</v>
      </c>
      <c r="M184" s="107">
        <v>0</v>
      </c>
      <c r="N184" s="107">
        <f t="shared" si="90"/>
        <v>80</v>
      </c>
    </row>
    <row r="185" spans="2:14" ht="22.5" customHeight="1" thickBot="1">
      <c r="B185" s="32" t="s">
        <v>51</v>
      </c>
      <c r="C185" s="39"/>
      <c r="D185" s="35">
        <f t="shared" ref="D185:I185" si="91">D186+D188+D187+D189</f>
        <v>109298</v>
      </c>
      <c r="E185" s="35">
        <f t="shared" si="91"/>
        <v>109298</v>
      </c>
      <c r="F185" s="35">
        <f t="shared" si="91"/>
        <v>0</v>
      </c>
      <c r="G185" s="35">
        <f t="shared" si="91"/>
        <v>116850</v>
      </c>
      <c r="H185" s="35">
        <f t="shared" si="91"/>
        <v>0</v>
      </c>
      <c r="I185" s="35">
        <f t="shared" si="91"/>
        <v>116850</v>
      </c>
      <c r="J185" s="82">
        <f t="shared" si="84"/>
        <v>106.90955003751212</v>
      </c>
      <c r="K185" s="132">
        <f>K186+K187+K188+K189</f>
        <v>0</v>
      </c>
      <c r="L185" s="132">
        <f t="shared" ref="L185:N185" si="92">L186+L187+L188+L189</f>
        <v>124904</v>
      </c>
      <c r="M185" s="132">
        <f t="shared" si="92"/>
        <v>0</v>
      </c>
      <c r="N185" s="132">
        <f t="shared" si="92"/>
        <v>124904</v>
      </c>
    </row>
    <row r="186" spans="2:14" ht="34.5" customHeight="1" thickTop="1">
      <c r="B186" s="29" t="s">
        <v>9</v>
      </c>
      <c r="C186" s="37" t="s">
        <v>11</v>
      </c>
      <c r="D186" s="31">
        <v>63634</v>
      </c>
      <c r="E186" s="31">
        <v>63634</v>
      </c>
      <c r="F186" s="31">
        <v>0</v>
      </c>
      <c r="G186" s="31">
        <v>64615</v>
      </c>
      <c r="H186" s="31">
        <v>0</v>
      </c>
      <c r="I186" s="74">
        <f>SUM(F186:H186)</f>
        <v>64615</v>
      </c>
      <c r="J186" s="81">
        <f t="shared" si="84"/>
        <v>101.5416286890656</v>
      </c>
      <c r="K186" s="107">
        <v>0</v>
      </c>
      <c r="L186" s="107">
        <v>71226</v>
      </c>
      <c r="M186" s="107">
        <v>0</v>
      </c>
      <c r="N186" s="107">
        <f>SUM(K186:M186)</f>
        <v>71226</v>
      </c>
    </row>
    <row r="187" spans="2:14" ht="22.5" customHeight="1">
      <c r="B187" s="14" t="s">
        <v>14</v>
      </c>
      <c r="C187" s="15" t="s">
        <v>15</v>
      </c>
      <c r="D187" s="16">
        <v>7584</v>
      </c>
      <c r="E187" s="16">
        <v>9269</v>
      </c>
      <c r="F187" s="16">
        <v>0</v>
      </c>
      <c r="G187" s="16">
        <v>4948</v>
      </c>
      <c r="H187" s="16">
        <v>0</v>
      </c>
      <c r="I187" s="71">
        <f>SUM(F187:H187)</f>
        <v>4948</v>
      </c>
      <c r="J187" s="81">
        <f t="shared" si="84"/>
        <v>53.382241881540615</v>
      </c>
      <c r="K187" s="107">
        <v>0</v>
      </c>
      <c r="L187" s="108">
        <v>3600</v>
      </c>
      <c r="M187" s="107">
        <v>0</v>
      </c>
      <c r="N187" s="107">
        <f t="shared" ref="N187:N189" si="93">SUM(K187:M187)</f>
        <v>3600</v>
      </c>
    </row>
    <row r="188" spans="2:14" ht="22.5" customHeight="1">
      <c r="B188" s="14" t="s">
        <v>13</v>
      </c>
      <c r="C188" s="15" t="s">
        <v>12</v>
      </c>
      <c r="D188" s="16">
        <v>12295</v>
      </c>
      <c r="E188" s="16">
        <v>12295</v>
      </c>
      <c r="F188" s="31">
        <v>0</v>
      </c>
      <c r="G188" s="16">
        <v>12766</v>
      </c>
      <c r="H188" s="16">
        <v>0</v>
      </c>
      <c r="I188" s="71">
        <f>SUM(F188:H188)</f>
        <v>12766</v>
      </c>
      <c r="J188" s="79">
        <f t="shared" si="84"/>
        <v>103.83082553883693</v>
      </c>
      <c r="K188" s="107">
        <v>0</v>
      </c>
      <c r="L188" s="108">
        <f>13718+413</f>
        <v>14131</v>
      </c>
      <c r="M188" s="107">
        <v>0</v>
      </c>
      <c r="N188" s="107">
        <f t="shared" si="93"/>
        <v>14131</v>
      </c>
    </row>
    <row r="189" spans="2:14" ht="22.5" customHeight="1">
      <c r="B189" s="14" t="s">
        <v>16</v>
      </c>
      <c r="C189" s="15" t="s">
        <v>17</v>
      </c>
      <c r="D189" s="16">
        <v>25785</v>
      </c>
      <c r="E189" s="16">
        <v>24100</v>
      </c>
      <c r="F189" s="16">
        <v>0</v>
      </c>
      <c r="G189" s="16">
        <v>34521</v>
      </c>
      <c r="H189" s="16">
        <v>0</v>
      </c>
      <c r="I189" s="71">
        <f>SUM(F189:H189)</f>
        <v>34521</v>
      </c>
      <c r="J189" s="79">
        <f t="shared" si="84"/>
        <v>143.24066390041494</v>
      </c>
      <c r="K189" s="107">
        <v>0</v>
      </c>
      <c r="L189" s="108">
        <f>1847+34100</f>
        <v>35947</v>
      </c>
      <c r="M189" s="107">
        <v>0</v>
      </c>
      <c r="N189" s="107">
        <f t="shared" si="93"/>
        <v>35947</v>
      </c>
    </row>
    <row r="190" spans="2:14" ht="22.5" customHeight="1" thickBot="1">
      <c r="B190" s="32" t="s">
        <v>58</v>
      </c>
      <c r="C190" s="39"/>
      <c r="D190" s="35">
        <f t="shared" ref="D190:I190" si="94">D193+D191+D192</f>
        <v>6850</v>
      </c>
      <c r="E190" s="35">
        <f t="shared" si="94"/>
        <v>6850</v>
      </c>
      <c r="F190" s="35">
        <f t="shared" si="94"/>
        <v>0</v>
      </c>
      <c r="G190" s="35">
        <f t="shared" si="94"/>
        <v>12794</v>
      </c>
      <c r="H190" s="35">
        <f t="shared" si="94"/>
        <v>0</v>
      </c>
      <c r="I190" s="35">
        <f t="shared" si="94"/>
        <v>12794</v>
      </c>
      <c r="J190" s="82">
        <f t="shared" si="84"/>
        <v>186.77372262773721</v>
      </c>
      <c r="K190" s="132">
        <f>K191+K192+K193</f>
        <v>0</v>
      </c>
      <c r="L190" s="132">
        <f>L191+L192+L193+L194</f>
        <v>15628</v>
      </c>
      <c r="M190" s="132">
        <f t="shared" ref="M190:N190" si="95">M191+M192+M193+M194</f>
        <v>0</v>
      </c>
      <c r="N190" s="132">
        <f t="shared" si="95"/>
        <v>15628</v>
      </c>
    </row>
    <row r="191" spans="2:14" ht="22.5" customHeight="1" thickTop="1">
      <c r="B191" s="29" t="s">
        <v>14</v>
      </c>
      <c r="C191" s="37" t="s">
        <v>15</v>
      </c>
      <c r="D191" s="31">
        <v>2560</v>
      </c>
      <c r="E191" s="31">
        <v>2560</v>
      </c>
      <c r="F191" s="31">
        <v>0</v>
      </c>
      <c r="G191" s="31">
        <v>1698</v>
      </c>
      <c r="H191" s="31">
        <v>0</v>
      </c>
      <c r="I191" s="74">
        <f>SUM(F191:H191)</f>
        <v>1698</v>
      </c>
      <c r="J191" s="81">
        <f t="shared" si="84"/>
        <v>66.328125</v>
      </c>
      <c r="K191" s="107">
        <v>0</v>
      </c>
      <c r="L191" s="107">
        <v>1700</v>
      </c>
      <c r="M191" s="107">
        <v>0</v>
      </c>
      <c r="N191" s="107">
        <f>SUM(K191:M191)</f>
        <v>1700</v>
      </c>
    </row>
    <row r="192" spans="2:14" ht="22.5" customHeight="1">
      <c r="B192" s="14" t="s">
        <v>13</v>
      </c>
      <c r="C192" s="25" t="s">
        <v>12</v>
      </c>
      <c r="D192" s="16">
        <v>290</v>
      </c>
      <c r="E192" s="16">
        <v>290</v>
      </c>
      <c r="F192" s="16">
        <v>0</v>
      </c>
      <c r="G192" s="16">
        <v>194</v>
      </c>
      <c r="H192" s="16">
        <v>0</v>
      </c>
      <c r="I192" s="71">
        <f>SUM(F192:H192)</f>
        <v>194</v>
      </c>
      <c r="J192" s="79">
        <f t="shared" si="84"/>
        <v>66.896551724137936</v>
      </c>
      <c r="K192" s="107">
        <v>0</v>
      </c>
      <c r="L192" s="108">
        <v>194</v>
      </c>
      <c r="M192" s="107">
        <v>0</v>
      </c>
      <c r="N192" s="107">
        <f t="shared" ref="N192:N194" si="96">SUM(K192:M192)</f>
        <v>194</v>
      </c>
    </row>
    <row r="193" spans="2:14" ht="22.5" customHeight="1">
      <c r="B193" s="29" t="s">
        <v>16</v>
      </c>
      <c r="C193" s="37" t="s">
        <v>17</v>
      </c>
      <c r="D193" s="31">
        <v>4000</v>
      </c>
      <c r="E193" s="31">
        <v>4000</v>
      </c>
      <c r="F193" s="31">
        <v>0</v>
      </c>
      <c r="G193" s="31">
        <v>10902</v>
      </c>
      <c r="H193" s="31">
        <v>0</v>
      </c>
      <c r="I193" s="71">
        <f>SUM(F193:H193)</f>
        <v>10902</v>
      </c>
      <c r="J193" s="79">
        <f t="shared" si="84"/>
        <v>272.54999999999995</v>
      </c>
      <c r="K193" s="107">
        <v>0</v>
      </c>
      <c r="L193" s="108">
        <v>10000</v>
      </c>
      <c r="M193" s="107">
        <v>0</v>
      </c>
      <c r="N193" s="107">
        <f t="shared" si="96"/>
        <v>10000</v>
      </c>
    </row>
    <row r="194" spans="2:14" ht="22.5" customHeight="1">
      <c r="B194" s="29" t="s">
        <v>61</v>
      </c>
      <c r="C194" s="37" t="s">
        <v>100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71">
        <f>SUM(F194:H194)</f>
        <v>0</v>
      </c>
      <c r="J194" s="79">
        <v>0</v>
      </c>
      <c r="K194" s="107">
        <v>0</v>
      </c>
      <c r="L194" s="108">
        <v>3734</v>
      </c>
      <c r="M194" s="107">
        <v>0</v>
      </c>
      <c r="N194" s="107">
        <f t="shared" si="96"/>
        <v>3734</v>
      </c>
    </row>
    <row r="195" spans="2:14" ht="45.75" customHeight="1">
      <c r="B195" s="49" t="s">
        <v>34</v>
      </c>
      <c r="C195" s="17"/>
      <c r="D195" s="27">
        <f t="shared" ref="D195:N195" si="97">D196+D198+D201+D204</f>
        <v>29662</v>
      </c>
      <c r="E195" s="27">
        <f t="shared" si="97"/>
        <v>29662</v>
      </c>
      <c r="F195" s="27">
        <f t="shared" si="97"/>
        <v>-2229</v>
      </c>
      <c r="G195" s="27">
        <f t="shared" si="97"/>
        <v>35411</v>
      </c>
      <c r="H195" s="27">
        <f t="shared" si="97"/>
        <v>0</v>
      </c>
      <c r="I195" s="27">
        <f t="shared" si="97"/>
        <v>33182</v>
      </c>
      <c r="J195" s="80">
        <f t="shared" si="84"/>
        <v>111.8670352639741</v>
      </c>
      <c r="K195" s="27">
        <f t="shared" si="97"/>
        <v>0</v>
      </c>
      <c r="L195" s="27">
        <f t="shared" si="97"/>
        <v>39201</v>
      </c>
      <c r="M195" s="27">
        <f t="shared" si="97"/>
        <v>0</v>
      </c>
      <c r="N195" s="27">
        <f t="shared" si="97"/>
        <v>39201</v>
      </c>
    </row>
    <row r="196" spans="2:14" ht="22.5" customHeight="1" thickBot="1">
      <c r="B196" s="32" t="s">
        <v>52</v>
      </c>
      <c r="C196" s="39"/>
      <c r="D196" s="35">
        <v>0</v>
      </c>
      <c r="E196" s="35">
        <f>E197</f>
        <v>0</v>
      </c>
      <c r="F196" s="35">
        <f>F197</f>
        <v>-2229</v>
      </c>
      <c r="G196" s="35">
        <v>0</v>
      </c>
      <c r="H196" s="35">
        <f>H197</f>
        <v>0</v>
      </c>
      <c r="I196" s="35">
        <f>I197</f>
        <v>-2229</v>
      </c>
      <c r="J196" s="82">
        <v>0</v>
      </c>
      <c r="K196" s="132">
        <f>K197</f>
        <v>0</v>
      </c>
      <c r="L196" s="132">
        <f t="shared" ref="L196:N196" si="98">L197</f>
        <v>0</v>
      </c>
      <c r="M196" s="132">
        <f t="shared" si="98"/>
        <v>0</v>
      </c>
      <c r="N196" s="132">
        <f t="shared" si="98"/>
        <v>0</v>
      </c>
    </row>
    <row r="197" spans="2:14" ht="22.5" customHeight="1" thickTop="1">
      <c r="B197" s="29" t="s">
        <v>33</v>
      </c>
      <c r="C197" s="37" t="s">
        <v>32</v>
      </c>
      <c r="D197" s="31">
        <v>0</v>
      </c>
      <c r="E197" s="31">
        <v>0</v>
      </c>
      <c r="F197" s="31">
        <v>-2229</v>
      </c>
      <c r="G197" s="31">
        <v>0</v>
      </c>
      <c r="H197" s="31">
        <v>0</v>
      </c>
      <c r="I197" s="74">
        <f>SUM(F197:H197)</f>
        <v>-2229</v>
      </c>
      <c r="J197" s="81">
        <v>0</v>
      </c>
      <c r="K197" s="107">
        <v>0</v>
      </c>
      <c r="L197" s="107">
        <v>0</v>
      </c>
      <c r="M197" s="107">
        <v>0</v>
      </c>
      <c r="N197" s="107">
        <v>0</v>
      </c>
    </row>
    <row r="198" spans="2:14" ht="34.5" customHeight="1" thickBot="1">
      <c r="B198" s="32" t="s">
        <v>53</v>
      </c>
      <c r="C198" s="59"/>
      <c r="D198" s="35">
        <f t="shared" ref="D198:I198" si="99">D199</f>
        <v>22500</v>
      </c>
      <c r="E198" s="35">
        <f t="shared" si="99"/>
        <v>22500</v>
      </c>
      <c r="F198" s="35">
        <f t="shared" si="99"/>
        <v>0</v>
      </c>
      <c r="G198" s="35">
        <f t="shared" si="99"/>
        <v>26409</v>
      </c>
      <c r="H198" s="35">
        <f t="shared" si="99"/>
        <v>0</v>
      </c>
      <c r="I198" s="35">
        <f t="shared" si="99"/>
        <v>26409</v>
      </c>
      <c r="J198" s="82">
        <f t="shared" si="84"/>
        <v>117.37333333333333</v>
      </c>
      <c r="K198" s="132">
        <f>K199</f>
        <v>0</v>
      </c>
      <c r="L198" s="132">
        <f>L199+L200</f>
        <v>30200</v>
      </c>
      <c r="M198" s="132">
        <f t="shared" ref="M198:N198" si="100">M199+M200</f>
        <v>0</v>
      </c>
      <c r="N198" s="132">
        <f t="shared" si="100"/>
        <v>30200</v>
      </c>
    </row>
    <row r="199" spans="2:14" ht="22.5" customHeight="1" thickTop="1">
      <c r="B199" s="29" t="s">
        <v>16</v>
      </c>
      <c r="C199" s="37" t="s">
        <v>17</v>
      </c>
      <c r="D199" s="31">
        <v>22500</v>
      </c>
      <c r="E199" s="31">
        <v>22500</v>
      </c>
      <c r="F199" s="31">
        <v>0</v>
      </c>
      <c r="G199" s="31">
        <v>26409</v>
      </c>
      <c r="H199" s="31">
        <v>0</v>
      </c>
      <c r="I199" s="31">
        <f>F199+G199+H199</f>
        <v>26409</v>
      </c>
      <c r="J199" s="81">
        <f t="shared" si="84"/>
        <v>117.37333333333333</v>
      </c>
      <c r="K199" s="107">
        <v>0</v>
      </c>
      <c r="L199" s="107">
        <v>27200</v>
      </c>
      <c r="M199" s="107">
        <v>0</v>
      </c>
      <c r="N199" s="107">
        <f>SUM(K199:M199)</f>
        <v>27200</v>
      </c>
    </row>
    <row r="200" spans="2:14" ht="22.5" customHeight="1">
      <c r="B200" s="63" t="s">
        <v>61</v>
      </c>
      <c r="C200" s="112" t="s">
        <v>62</v>
      </c>
      <c r="D200" s="129">
        <v>0</v>
      </c>
      <c r="E200" s="129">
        <v>0</v>
      </c>
      <c r="F200" s="129">
        <v>0</v>
      </c>
      <c r="G200" s="129">
        <v>0</v>
      </c>
      <c r="H200" s="129">
        <v>0</v>
      </c>
      <c r="I200" s="129"/>
      <c r="J200" s="98"/>
      <c r="K200" s="117">
        <v>0</v>
      </c>
      <c r="L200" s="117">
        <v>3000</v>
      </c>
      <c r="M200" s="117">
        <v>0</v>
      </c>
      <c r="N200" s="117">
        <f>SUM(K200:M200)</f>
        <v>3000</v>
      </c>
    </row>
    <row r="201" spans="2:14" ht="22.5" customHeight="1" thickBot="1">
      <c r="B201" s="32" t="s">
        <v>54</v>
      </c>
      <c r="C201" s="59"/>
      <c r="D201" s="35">
        <f>D202+D203</f>
        <v>5164</v>
      </c>
      <c r="E201" s="35">
        <f t="shared" ref="E201:J201" si="101">E202+E203</f>
        <v>5164</v>
      </c>
      <c r="F201" s="35">
        <f t="shared" si="101"/>
        <v>0</v>
      </c>
      <c r="G201" s="35">
        <f t="shared" si="101"/>
        <v>6842</v>
      </c>
      <c r="H201" s="35">
        <f t="shared" si="101"/>
        <v>0</v>
      </c>
      <c r="I201" s="35">
        <f t="shared" si="101"/>
        <v>6842</v>
      </c>
      <c r="J201" s="100">
        <f t="shared" si="101"/>
        <v>265.94540540540538</v>
      </c>
      <c r="K201" s="132">
        <f>K202+K203</f>
        <v>0</v>
      </c>
      <c r="L201" s="132">
        <f t="shared" ref="L201:N201" si="102">L202+L203</f>
        <v>6841</v>
      </c>
      <c r="M201" s="132">
        <f t="shared" si="102"/>
        <v>0</v>
      </c>
      <c r="N201" s="132">
        <f t="shared" si="102"/>
        <v>6841</v>
      </c>
    </row>
    <row r="202" spans="2:14" ht="22.5" customHeight="1" thickTop="1">
      <c r="B202" s="29" t="s">
        <v>14</v>
      </c>
      <c r="C202" s="37" t="s">
        <v>15</v>
      </c>
      <c r="D202" s="31">
        <v>2664</v>
      </c>
      <c r="E202" s="31">
        <v>2664</v>
      </c>
      <c r="F202" s="31">
        <v>0</v>
      </c>
      <c r="G202" s="31">
        <v>3141</v>
      </c>
      <c r="H202" s="31">
        <v>0</v>
      </c>
      <c r="I202" s="74">
        <f>SUM(F202:H202)</f>
        <v>3141</v>
      </c>
      <c r="J202" s="81">
        <f t="shared" si="84"/>
        <v>117.90540540540539</v>
      </c>
      <c r="K202" s="107">
        <v>0</v>
      </c>
      <c r="L202" s="107">
        <v>3141</v>
      </c>
      <c r="M202" s="107">
        <v>0</v>
      </c>
      <c r="N202" s="107">
        <f>SUM(K202:M202)</f>
        <v>3141</v>
      </c>
    </row>
    <row r="203" spans="2:14" ht="22.5" customHeight="1">
      <c r="B203" s="14" t="s">
        <v>16</v>
      </c>
      <c r="C203" s="15" t="s">
        <v>17</v>
      </c>
      <c r="D203" s="16">
        <v>2500</v>
      </c>
      <c r="E203" s="16">
        <v>2500</v>
      </c>
      <c r="F203" s="16">
        <v>0</v>
      </c>
      <c r="G203" s="16">
        <v>3701</v>
      </c>
      <c r="H203" s="16">
        <v>0</v>
      </c>
      <c r="I203" s="71">
        <f>SUM(F203:H203)</f>
        <v>3701</v>
      </c>
      <c r="J203" s="79">
        <f t="shared" si="84"/>
        <v>148.04</v>
      </c>
      <c r="K203" s="107">
        <v>0</v>
      </c>
      <c r="L203" s="108">
        <v>3700</v>
      </c>
      <c r="M203" s="107">
        <v>0</v>
      </c>
      <c r="N203" s="107">
        <f>SUM(K203:M203)</f>
        <v>3700</v>
      </c>
    </row>
    <row r="204" spans="2:14" ht="22.5" customHeight="1" thickBot="1">
      <c r="B204" s="32" t="s">
        <v>80</v>
      </c>
      <c r="C204" s="39"/>
      <c r="D204" s="35">
        <v>1998</v>
      </c>
      <c r="E204" s="35">
        <v>1998</v>
      </c>
      <c r="F204" s="35">
        <v>0</v>
      </c>
      <c r="G204" s="35">
        <f>G205</f>
        <v>2160</v>
      </c>
      <c r="H204" s="35">
        <f>H205</f>
        <v>0</v>
      </c>
      <c r="I204" s="94">
        <f>SUM(F204:H204)</f>
        <v>2160</v>
      </c>
      <c r="J204" s="82">
        <f>I204/E204*100</f>
        <v>108.10810810810811</v>
      </c>
      <c r="K204" s="132">
        <f>K205</f>
        <v>0</v>
      </c>
      <c r="L204" s="132">
        <f t="shared" ref="L204:N204" si="103">L205</f>
        <v>2160</v>
      </c>
      <c r="M204" s="132">
        <f t="shared" si="103"/>
        <v>0</v>
      </c>
      <c r="N204" s="132">
        <f t="shared" si="103"/>
        <v>2160</v>
      </c>
    </row>
    <row r="205" spans="2:14" ht="22.5" customHeight="1" thickTop="1">
      <c r="B205" s="29" t="s">
        <v>14</v>
      </c>
      <c r="C205" s="37" t="s">
        <v>15</v>
      </c>
      <c r="D205" s="31">
        <v>1998</v>
      </c>
      <c r="E205" s="31">
        <v>1998</v>
      </c>
      <c r="F205" s="31">
        <v>0</v>
      </c>
      <c r="G205" s="31">
        <v>2160</v>
      </c>
      <c r="H205" s="31">
        <v>0</v>
      </c>
      <c r="I205" s="74">
        <f>SUM(F205:H205)</f>
        <v>2160</v>
      </c>
      <c r="J205" s="81">
        <f>I205/D205*100</f>
        <v>108.10810810810811</v>
      </c>
      <c r="K205" s="107">
        <v>0</v>
      </c>
      <c r="L205" s="107">
        <v>2160</v>
      </c>
      <c r="M205" s="107">
        <v>0</v>
      </c>
      <c r="N205" s="107">
        <f>SUM(K205:M205)</f>
        <v>2160</v>
      </c>
    </row>
    <row r="206" spans="2:14" ht="42" customHeight="1">
      <c r="B206" s="49" t="s">
        <v>37</v>
      </c>
      <c r="C206" s="17"/>
      <c r="D206" s="27">
        <f>D209+D208</f>
        <v>41873</v>
      </c>
      <c r="E206" s="57">
        <f>E209+E208</f>
        <v>339415</v>
      </c>
      <c r="F206" s="27">
        <f>F209+F208</f>
        <v>2</v>
      </c>
      <c r="G206" s="27">
        <f>G209+G208+G207</f>
        <v>52994</v>
      </c>
      <c r="H206" s="27">
        <f>H209+H208+H207</f>
        <v>0</v>
      </c>
      <c r="I206" s="27">
        <f>I209+I208+I207</f>
        <v>52996</v>
      </c>
      <c r="J206" s="80">
        <f t="shared" si="84"/>
        <v>15.613923957397285</v>
      </c>
      <c r="K206" s="109">
        <f>K207+K208+K209</f>
        <v>0</v>
      </c>
      <c r="L206" s="109">
        <f t="shared" ref="L206:N206" si="104">L207+L208+L209</f>
        <v>192500</v>
      </c>
      <c r="M206" s="109">
        <f t="shared" si="104"/>
        <v>0</v>
      </c>
      <c r="N206" s="109">
        <f t="shared" si="104"/>
        <v>192500</v>
      </c>
    </row>
    <row r="207" spans="2:14" ht="22.5" customHeight="1">
      <c r="B207" s="14" t="s">
        <v>16</v>
      </c>
      <c r="C207" s="15" t="s">
        <v>17</v>
      </c>
      <c r="D207" s="16">
        <v>0</v>
      </c>
      <c r="E207" s="101">
        <v>0</v>
      </c>
      <c r="F207" s="16">
        <v>0</v>
      </c>
      <c r="G207" s="16">
        <v>12750</v>
      </c>
      <c r="H207" s="16">
        <v>0</v>
      </c>
      <c r="I207" s="16">
        <f>SUM(F207:H207)</f>
        <v>12750</v>
      </c>
      <c r="J207" s="79">
        <v>0</v>
      </c>
      <c r="K207" s="108">
        <v>0</v>
      </c>
      <c r="L207" s="108">
        <v>0</v>
      </c>
      <c r="M207" s="108">
        <v>0</v>
      </c>
      <c r="N207" s="108">
        <f>SUM(K207:M207)</f>
        <v>0</v>
      </c>
    </row>
    <row r="208" spans="2:14" ht="23.25" customHeight="1">
      <c r="B208" s="14" t="s">
        <v>31</v>
      </c>
      <c r="C208" s="15" t="s">
        <v>29</v>
      </c>
      <c r="D208" s="28">
        <v>31618</v>
      </c>
      <c r="E208" s="28">
        <v>40090</v>
      </c>
      <c r="F208" s="16">
        <v>2</v>
      </c>
      <c r="G208" s="16">
        <v>40244</v>
      </c>
      <c r="H208" s="16">
        <v>0</v>
      </c>
      <c r="I208" s="71">
        <f>SUM(F208:H208)</f>
        <v>40246</v>
      </c>
      <c r="J208" s="79">
        <f t="shared" si="84"/>
        <v>100.38912446994263</v>
      </c>
      <c r="K208" s="108">
        <v>0</v>
      </c>
      <c r="L208" s="108">
        <v>42500</v>
      </c>
      <c r="M208" s="108">
        <v>0</v>
      </c>
      <c r="N208" s="108">
        <f t="shared" ref="N208:N209" si="105">SUM(K208:M208)</f>
        <v>42500</v>
      </c>
    </row>
    <row r="209" spans="1:15" ht="22.5" customHeight="1">
      <c r="B209" s="14" t="s">
        <v>3</v>
      </c>
      <c r="C209" s="15" t="s">
        <v>28</v>
      </c>
      <c r="D209" s="28">
        <v>10255</v>
      </c>
      <c r="E209" s="28">
        <v>299325</v>
      </c>
      <c r="F209" s="16">
        <v>0</v>
      </c>
      <c r="G209" s="16">
        <v>0</v>
      </c>
      <c r="H209" s="16">
        <v>0</v>
      </c>
      <c r="I209" s="71">
        <f>SUM(F209:H209)</f>
        <v>0</v>
      </c>
      <c r="J209" s="79">
        <f t="shared" si="84"/>
        <v>0</v>
      </c>
      <c r="K209" s="108">
        <v>0</v>
      </c>
      <c r="L209" s="108">
        <v>150000</v>
      </c>
      <c r="M209" s="108">
        <v>0</v>
      </c>
      <c r="N209" s="108">
        <f t="shared" si="105"/>
        <v>150000</v>
      </c>
    </row>
    <row r="210" spans="1:15" ht="28.5" customHeight="1">
      <c r="A210" s="1"/>
      <c r="B210" s="27" t="s">
        <v>2</v>
      </c>
      <c r="C210" s="27"/>
      <c r="D210" s="56">
        <f t="shared" ref="D210:I210" si="106">D195+D151+D96+D77+D41+D35+D11+D206+D123</f>
        <v>9185197</v>
      </c>
      <c r="E210" s="56">
        <f t="shared" si="106"/>
        <v>10102739</v>
      </c>
      <c r="F210" s="56">
        <f t="shared" si="106"/>
        <v>5767016</v>
      </c>
      <c r="G210" s="56">
        <f t="shared" si="106"/>
        <v>3745547</v>
      </c>
      <c r="H210" s="56">
        <f t="shared" si="106"/>
        <v>507941</v>
      </c>
      <c r="I210" s="56">
        <f t="shared" si="106"/>
        <v>10020504</v>
      </c>
      <c r="J210" s="80">
        <f t="shared" si="84"/>
        <v>99.186012822859226</v>
      </c>
      <c r="K210" s="56">
        <f>K195+K151+K96+K77+K41+K35+K11+K206+K123</f>
        <v>6556914</v>
      </c>
      <c r="L210" s="56">
        <f>L195+L151+L96+L77+L41+L35+L11+L206+L123</f>
        <v>4029019</v>
      </c>
      <c r="M210" s="56">
        <f>M195+M151+M96+M77+M41+M35+M11+M206+M123</f>
        <v>526100</v>
      </c>
      <c r="N210" s="56">
        <f>N195+N151+N96+N77+N41+N35+N11+N206+N123</f>
        <v>11112033</v>
      </c>
    </row>
    <row r="211" spans="1:15" ht="15.75">
      <c r="B211" s="67"/>
      <c r="C211" s="68"/>
      <c r="D211" s="8"/>
      <c r="E211" s="9"/>
      <c r="F211" s="9"/>
      <c r="G211" s="9"/>
      <c r="H211" s="9"/>
    </row>
    <row r="212" spans="1:15" ht="15.75">
      <c r="B212" s="67"/>
      <c r="C212" s="68"/>
      <c r="D212" s="9"/>
      <c r="E212" s="9"/>
      <c r="F212" s="9"/>
      <c r="G212" s="11"/>
      <c r="H212" s="11"/>
    </row>
    <row r="213" spans="1:15" ht="15.75">
      <c r="B213" s="119"/>
      <c r="C213" s="120"/>
      <c r="D213" s="11"/>
      <c r="E213" s="11"/>
      <c r="F213" s="11"/>
      <c r="G213" s="11"/>
      <c r="H213" s="11"/>
      <c r="L213" s="130"/>
      <c r="M213" s="114"/>
      <c r="N213" s="115"/>
      <c r="O213" s="115"/>
    </row>
    <row r="214" spans="1:15" ht="15.75">
      <c r="B214" s="119"/>
      <c r="C214" s="120"/>
      <c r="D214" s="128"/>
      <c r="E214" s="153"/>
      <c r="F214" s="153"/>
      <c r="G214" s="11"/>
      <c r="H214" s="11"/>
      <c r="L214" s="131"/>
      <c r="M214" s="114"/>
      <c r="N214" s="115"/>
      <c r="O214" s="115"/>
    </row>
    <row r="215" spans="1:15" ht="15.75">
      <c r="B215" s="119"/>
      <c r="C215" s="120"/>
      <c r="D215" s="9"/>
      <c r="E215" s="9"/>
      <c r="F215" s="9"/>
      <c r="G215" s="9"/>
      <c r="H215" s="9"/>
      <c r="I215" s="9"/>
      <c r="M215" s="114"/>
      <c r="N215" s="115"/>
      <c r="O215" s="115"/>
    </row>
    <row r="216" spans="1:15" ht="15.75">
      <c r="B216" s="119"/>
      <c r="C216" s="120"/>
      <c r="D216" s="9"/>
      <c r="E216" s="9"/>
      <c r="F216" s="9"/>
      <c r="G216" s="9"/>
      <c r="H216" s="9"/>
      <c r="I216" s="9"/>
      <c r="M216" s="114"/>
      <c r="N216" s="115"/>
      <c r="O216" s="115"/>
    </row>
    <row r="217" spans="1:15" ht="15.75">
      <c r="B217" s="119"/>
      <c r="C217" s="120"/>
      <c r="D217" s="9"/>
      <c r="E217" s="9"/>
      <c r="F217" s="9"/>
      <c r="G217" s="9"/>
      <c r="H217" s="9"/>
      <c r="M217" s="114"/>
      <c r="N217" s="115"/>
      <c r="O217" s="115"/>
    </row>
    <row r="218" spans="1:15" ht="15.75">
      <c r="B218" s="119"/>
      <c r="C218" s="120"/>
      <c r="D218" s="9"/>
      <c r="E218" s="9"/>
      <c r="F218" s="9"/>
      <c r="G218" s="9"/>
      <c r="H218" s="9"/>
      <c r="M218" s="114"/>
      <c r="N218" s="115"/>
      <c r="O218" s="115"/>
    </row>
    <row r="219" spans="1:15" ht="15.75">
      <c r="B219" s="119"/>
      <c r="C219" s="120"/>
      <c r="D219" s="10"/>
      <c r="E219" s="153"/>
      <c r="F219" s="153"/>
      <c r="G219" s="12"/>
      <c r="H219" s="12"/>
      <c r="M219" s="113">
        <f>SUM(M217:M218)</f>
        <v>0</v>
      </c>
      <c r="N219" s="115"/>
      <c r="O219" s="115"/>
    </row>
    <row r="220" spans="1:15" ht="15.75">
      <c r="B220" s="5"/>
      <c r="C220" s="54"/>
      <c r="D220" s="53"/>
      <c r="E220" s="6"/>
      <c r="F220" s="6"/>
      <c r="G220" s="6"/>
      <c r="H220" s="6"/>
    </row>
    <row r="221" spans="1:15" ht="15.75">
      <c r="B221" s="5"/>
      <c r="C221" s="5"/>
      <c r="D221" s="6"/>
      <c r="E221" s="154"/>
      <c r="F221" s="154"/>
      <c r="G221" s="13"/>
      <c r="H221" s="13"/>
    </row>
  </sheetData>
  <mergeCells count="15">
    <mergeCell ref="E219:F219"/>
    <mergeCell ref="E221:F221"/>
    <mergeCell ref="B7:B9"/>
    <mergeCell ref="C7:C9"/>
    <mergeCell ref="D7:J7"/>
    <mergeCell ref="F8:J8"/>
    <mergeCell ref="D8:D9"/>
    <mergeCell ref="E214:F214"/>
    <mergeCell ref="K7:N7"/>
    <mergeCell ref="K8:N8"/>
    <mergeCell ref="E8:E9"/>
    <mergeCell ref="H1:J1"/>
    <mergeCell ref="B6:H6"/>
    <mergeCell ref="M1:O1"/>
    <mergeCell ref="B5:N5"/>
  </mergeCells>
  <phoneticPr fontId="2" type="noConversion"/>
  <printOptions horizontalCentered="1"/>
  <pageMargins left="0" right="0" top="0" bottom="0" header="0" footer="0"/>
  <pageSetup paperSize="9" scale="53" fitToHeight="6" orientation="landscape" r:id="rId1"/>
  <headerFooter alignWithMargins="0"/>
  <rowBreaks count="2" manualBreakCount="2">
    <brk id="118" min="1" max="13" man="1"/>
    <brk id="192" min="1" max="13" man="1"/>
  </rowBreaks>
  <ignoredErrors>
    <ignoredError sqref="I71 I89 I159 I49 E110:F110 I116 I66 I206 I154 I164 I103 I106 I147 N91 J89:J91 N170" formula="1"/>
    <ignoredError sqref="I79:I83 I90 I98:I102 I107:I108 I139 I153 I176:I178 I160:I163 I180:I184 I13:I19 I21:I22 I117 I24:I28 I112 I158 I92:I95 I148 I205 I67:I70 I125:I129 I202:I203 I169 I43:I48 I131:I136 I171:I174 N93 N168:N169" formulaRange="1"/>
    <ignoredError sqref="I72:I76 I85:I87 I118 I138 I141:I145 I185:I189 I191:I193 I197 I207:I209 I121 I50:I56 I32:I34 I113:I114 I111 I104:I105 I165:I168 I58:I63 I155:I157 I130 N92" formula="1" formulaRange="1"/>
    <ignoredError sqref="J130:J137 J143:J145 J151:J154 J49 J140:J141 J123 J167 J1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DDoichinova</cp:lastModifiedBy>
  <cp:lastPrinted>2018-01-17T15:20:14Z</cp:lastPrinted>
  <dcterms:created xsi:type="dcterms:W3CDTF">2006-01-31T11:28:03Z</dcterms:created>
  <dcterms:modified xsi:type="dcterms:W3CDTF">2018-01-31T14:12:12Z</dcterms:modified>
</cp:coreProperties>
</file>